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mc:AlternateContent xmlns:mc="http://schemas.openxmlformats.org/markup-compatibility/2006">
    <mc:Choice Requires="x15">
      <x15ac:absPath xmlns:x15ac="http://schemas.microsoft.com/office/spreadsheetml/2010/11/ac" url="D:\DWR\Water Audit\"/>
    </mc:Choice>
  </mc:AlternateContent>
  <xr:revisionPtr revIDLastSave="0" documentId="8_{2CDAFAD2-DFE2-4EE6-8CF4-7677C3EE46A6}" xr6:coauthVersionLast="47" xr6:coauthVersionMax="47" xr10:uidLastSave="{00000000-0000-0000-0000-000000000000}"/>
  <workbookProtection workbookPassword="FDB7" lockStructure="1"/>
  <bookViews>
    <workbookView xWindow="-120" yWindow="-120" windowWidth="20730" windowHeight="1116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2" i="56" l="1"/>
  <c r="G420" i="56"/>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<sst xmlns="http://schemas.openxmlformats.org/spreadsheetml/2006/main" count="2455" uniqueCount="1276">
  <si>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</si>
  <si>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</si>
  <si>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</si>
  <si>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</si>
  <si>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</si>
  <si>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</si>
  <si>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</si>
  <si>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</si>
  <si>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</si>
  <si>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</si>
  <si>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</si>
  <si>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</si>
  <si>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</si>
  <si>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</si>
  <si>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</si>
  <si>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</si>
  <si>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</si>
  <si>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</si>
  <si>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</si>
  <si>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</si>
  <si>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</si>
  <si>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</si>
  <si>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</si>
  <si>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</si>
  <si>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</si>
  <si>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</si>
  <si>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</si>
  <si>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</si>
  <si>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</si>
  <si>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</si>
  <si>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</si>
  <si>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</si>
  <si>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</si>
  <si>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</si>
  <si>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</si>
  <si>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</si>
  <si>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</si>
  <si>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</si>
  <si>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</si>
  <si>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</si>
  <si>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</si>
  <si>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</si>
  <si>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</si>
  <si>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</si>
  <si>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</si>
  <si>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</si>
  <si>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</si>
  <si>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</si>
  <si>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</si>
  <si>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</si>
  <si>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</si>
  <si>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</si>
  <si>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</si>
  <si>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</si>
  <si>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</si>
  <si>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</si>
  <si>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</si>
  <si>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</si>
  <si>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</si>
  <si>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</si>
  <si>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</si>
  <si>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</si>
  <si>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</si>
  <si>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</si>
  <si>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</si>
  <si>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</si>
  <si>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</si>
  <si>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</si>
  <si>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</si>
  <si>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</si>
  <si>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</si>
  <si>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</si>
  <si>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</si>
  <si>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</si>
  <si>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</si>
  <si>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</si>
  <si>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</si>
  <si>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</si>
  <si>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</si>
  <si>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</si>
  <si>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</si>
  <si>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</si>
  <si>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</si>
  <si>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</si>
  <si>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</si>
  <si>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</si>
  <si>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</si>
  <si>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</si>
  <si>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</si>
  <si>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</si>
  <si>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</si>
  <si>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</si>
  <si>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</si>
  <si>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</si>
  <si>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</si>
  <si>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</si>
  <si>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</si>
  <si>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</si>
  <si>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</si>
  <si>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</si>
  <si>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</si>
  <si>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</si>
  <si>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</si>
  <si>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</si>
  <si>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</si>
  <si>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</si>
  <si>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</si>
  <si>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</si>
  <si>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</si>
  <si>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</si>
  <si>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</si>
  <si>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</si>
  <si>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</si>
  <si>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</si>
  <si>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</si>
  <si>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</si>
  <si>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</si>
  <si>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</si>
  <si>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</si>
  <si>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</si>
  <si>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</si>
  <si>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</si>
  <si>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</si>
  <si>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</si>
  <si>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</si>
  <si>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</si>
  <si>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</si>
  <si>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</si>
  <si>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</si>
  <si>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</si>
  <si>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</si>
  <si>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</si>
  <si>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</si>
  <si>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</si>
  <si>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</si>
  <si>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</si>
  <si>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</si>
  <si>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</si>
  <si>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</si>
  <si>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</si>
  <si>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</si>
  <si>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</si>
  <si>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</si>
  <si>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</si>
  <si>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</si>
  <si>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</si>
  <si>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</si>
  <si>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</si>
  <si>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</si>
  <si>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</si>
  <si>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</si>
  <si>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</si>
  <si>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</si>
  <si>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</si>
  <si>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</si>
  <si>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</si>
  <si>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</si>
  <si>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</si>
  <si>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</si>
  <si>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</si>
  <si>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</si>
  <si>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</si>
  <si>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</si>
  <si>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</si>
  <si>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</si>
  <si>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</si>
  <si>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</si>
  <si>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</si>
  <si>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</si>
  <si>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</si>
  <si>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</si>
  <si>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</si>
  <si>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</si>
  <si>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</si>
  <si>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</si>
  <si>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</si>
  <si>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</si>
  <si>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</si>
  <si>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</si>
  <si>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</si>
  <si>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</si>
  <si>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</si>
  <si>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</si>
  <si>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</si>
  <si>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</si>
  <si>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</si>
  <si>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</si>
  <si>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</si>
  <si>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</si>
  <si>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</si>
  <si>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</si>
  <si>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</si>
  <si>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</si>
  <si>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</si>
  <si>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</si>
  <si>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</si>
  <si>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</si>
  <si>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</si>
  <si>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</si>
  <si>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</si>
  <si>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</si>
  <si>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</si>
  <si>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</si>
  <si>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</si>
  <si>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</si>
  <si>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</si>
  <si>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</si>
  <si>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</si>
  <si>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</si>
  <si>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</si>
  <si>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</si>
  <si>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</si>
  <si>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</si>
  <si>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</si>
  <si>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</si>
  <si>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</si>
  <si>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</si>
  <si>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</si>
  <si>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</si>
  <si>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</si>
  <si>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</si>
  <si>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</si>
  <si>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</si>
  <si>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</si>
  <si>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</si>
  <si>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</si>
  <si>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</si>
  <si>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</si>
  <si>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</si>
  <si>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</si>
  <si>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</si>
  <si>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</si>
  <si>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</si>
  <si>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</si>
  <si>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</si>
  <si>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</si>
  <si>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</si>
  <si>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</si>
  <si>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</si>
  <si>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</si>
  <si>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</si>
  <si>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</si>
  <si>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</si>
  <si>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</si>
  <si>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</si>
  <si>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</si>
  <si>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</si>
  <si>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</si>
  <si>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</si>
  <si>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</si>
  <si>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</si>
  <si>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</si>
  <si>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</si>
  <si>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</si>
  <si>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</si>
  <si>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</si>
  <si>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</si>
  <si>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</si>
  <si>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</si>
  <si>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</si>
  <si>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</si>
  <si>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</si>
  <si>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</si>
  <si>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</si>
  <si>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</si>
  <si>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</si>
  <si>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</si>
  <si>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</si>
  <si>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</si>
  <si>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</si>
  <si>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</si>
  <si>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</si>
  <si>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</si>
  <si>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</si>
  <si>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</si>
  <si>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</si>
  <si>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</si>
  <si>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</si>
  <si>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</si>
  <si>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</si>
  <si>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</si>
  <si>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</si>
  <si>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</si>
  <si>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</si>
  <si>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</si>
  <si>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</si>
  <si>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</si>
  <si>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</si>
  <si>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</si>
  <si>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</si>
  <si>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</si>
  <si>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</si>
  <si>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</si>
  <si>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</si>
  <si>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</si>
  <si>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</si>
  <si>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</si>
  <si>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</si>
  <si>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</si>
  <si>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</si>
  <si>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</si>
  <si>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</si>
  <si>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</si>
  <si>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</si>
  <si>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</si>
  <si>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</si>
  <si>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</si>
  <si>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</si>
  <si>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</si>
  <si>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</si>
  <si>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</si>
  <si>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</si>
  <si>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</si>
  <si>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</si>
  <si>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</si>
  <si>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</si>
  <si>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</si>
  <si>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</si>
  <si>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</si>
  <si>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</si>
  <si>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</si>
  <si>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</si>
  <si>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</si>
  <si>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</si>
  <si>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</si>
  <si>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</si>
  <si>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</si>
  <si>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</si>
  <si>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</si>
  <si>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</si>
  <si>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</si>
  <si>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</si>
  <si>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</si>
  <si>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</si>
  <si>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</si>
  <si>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</si>
  <si>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</si>
  <si>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</si>
  <si>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</si>
  <si>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</si>
  <si>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</si>
  <si>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</si>
  <si>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</si>
  <si>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</si>
  <si>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</si>
  <si>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</si>
  <si>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</si>
  <si>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</si>
  <si>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</si>
  <si>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</si>
  <si>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</si>
  <si>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</si>
  <si>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</si>
  <si>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</si>
  <si>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</si>
  <si>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</si>
  <si>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</si>
  <si>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</si>
  <si>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</si>
  <si>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</si>
  <si>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</si>
  <si>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</si>
  <si>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</si>
  <si>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</si>
  <si>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</si>
  <si>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</si>
  <si>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</si>
  <si>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</si>
  <si>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</si>
  <si>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</si>
  <si>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</si>
  <si>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</si>
  <si>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</si>
  <si>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</si>
  <si>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</si>
  <si>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</si>
  <si>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</si>
  <si>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</si>
  <si>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</si>
  <si>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</si>
  <si>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</si>
  <si>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</si>
  <si>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</si>
  <si>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</si>
  <si>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</si>
  <si>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</si>
  <si>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</si>
  <si>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</si>
  <si>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</si>
  <si>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</si>
  <si>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</si>
  <si>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</si>
  <si>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</si>
  <si>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</si>
  <si>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</si>
  <si>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</si>
  <si>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</si>
  <si>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</si>
  <si>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</si>
  <si>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</si>
  <si>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</si>
  <si>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</si>
  <si>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</si>
  <si>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</si>
  <si>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</si>
  <si>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</si>
  <si>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</si>
  <si>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</si>
  <si>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</si>
  <si>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</si>
  <si>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</si>
  <si>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</si>
  <si>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</si>
  <si>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</si>
  <si>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</si>
  <si>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</si>
  <si>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</si>
  <si>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</si>
  <si>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</si>
  <si>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</si>
  <si>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</si>
  <si>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</si>
  <si>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</si>
  <si>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</si>
  <si>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</si>
  <si>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</si>
  <si>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</si>
  <si>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</si>
  <si>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</si>
  <si>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</si>
  <si>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</si>
  <si>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</si>
  <si>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</si>
  <si>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</si>
  <si>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</si>
  <si>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</si>
  <si>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</si>
  <si>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</si>
  <si>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</si>
  <si>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</si>
  <si>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</si>
  <si>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</si>
  <si>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</si>
  <si>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</si>
  <si>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</si>
  <si>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</si>
  <si>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</si>
  <si>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</si>
  <si>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</si>
  <si>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</si>
  <si>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</si>
  <si>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</si>
  <si>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</si>
  <si>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</si>
  <si>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</si>
  <si>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</si>
  <si>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</si>
  <si>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</si>
  <si>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</si>
  <si>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</si>
  <si>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</si>
  <si>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</si>
  <si>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</si>
  <si>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</si>
  <si>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</si>
  <si>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</si>
  <si>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</si>
  <si>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</si>
  <si>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</si>
  <si>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</si>
  <si>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</si>
  <si>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</si>
  <si>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</si>
  <si>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</si>
  <si>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</si>
  <si>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</si>
  <si>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</si>
  <si>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</si>
  <si>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</si>
  <si>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</si>
  <si>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</si>
  <si>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</si>
  <si>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</si>
  <si>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</si>
  <si>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</si>
  <si>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</si>
  <si>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</si>
  <si>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</si>
  <si>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</si>
  <si>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</si>
  <si>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</si>
  <si>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</si>
  <si>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</si>
  <si>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</si>
  <si>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</si>
  <si>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</si>
  <si>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</si>
  <si>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</si>
  <si>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</si>
  <si>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</si>
  <si>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</si>
  <si>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</si>
  <si>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</si>
  <si>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</si>
  <si>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</si>
  <si>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</si>
  <si>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</si>
  <si>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</si>
  <si>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</si>
  <si>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</si>
  <si>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</si>
  <si>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</si>
  <si>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</si>
  <si>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</si>
  <si>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</si>
  <si>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</si>
  <si>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</si>
  <si>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</si>
  <si>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</si>
  <si>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</si>
  <si>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</si>
  <si>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</si>
  <si>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</si>
  <si>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</si>
  <si>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</si>
  <si>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</si>
  <si>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</si>
  <si>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</si>
  <si>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</si>
  <si>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</si>
  <si>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</si>
  <si>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</si>
  <si>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</si>
  <si>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</si>
  <si>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</si>
  <si>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</si>
  <si>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</si>
  <si>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</si>
  <si>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</si>
  <si>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</si>
  <si>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</si>
  <si>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</si>
  <si>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</si>
  <si>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</si>
  <si>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</si>
  <si>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</si>
  <si>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</si>
  <si>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</si>
  <si>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</si>
  <si>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</si>
  <si>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</si>
  <si>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</si>
  <si>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</si>
  <si>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</si>
  <si>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</si>
  <si>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</si>
  <si>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</si>
  <si>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</si>
  <si>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</si>
  <si>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</si>
  <si>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</si>
  <si>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</si>
  <si>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</si>
  <si>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</si>
  <si>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</si>
  <si>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</si>
  <si>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</si>
  <si>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</si>
  <si>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</si>
  <si>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</si>
  <si>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</si>
  <si>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</si>
  <si>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</si>
  <si>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</si>
  <si>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</si>
  <si>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</si>
  <si>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</si>
  <si>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</si>
  <si>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</si>
  <si>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</si>
  <si>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</si>
  <si>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</si>
  <si>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</si>
  <si>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</si>
  <si>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</si>
  <si>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</si>
  <si>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</si>
  <si>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</si>
  <si>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</si>
  <si>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</si>
  <si>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</si>
  <si>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</si>
  <si>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</si>
  <si>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</si>
  <si>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</si>
  <si>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</si>
  <si>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</si>
  <si>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</si>
  <si>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</si>
  <si>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</si>
  <si>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</si>
  <si>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</si>
  <si>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</si>
  <si>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</si>
  <si>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</si>
  <si>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</si>
  <si>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</si>
  <si>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</si>
  <si>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</si>
  <si>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</si>
  <si>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</si>
  <si>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</si>
  <si>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</si>
  <si>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</si>
  <si>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</si>
  <si>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</si>
  <si>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</si>
  <si>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</si>
  <si>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</si>
  <si>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</si>
  <si>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</si>
  <si>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</si>
  <si>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</si>
  <si>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</si>
  <si>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</si>
  <si>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</si>
  <si>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</si>
  <si>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</si>
  <si>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</si>
  <si>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</si>
  <si>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</si>
  <si>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</si>
  <si>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</si>
  <si>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</si>
  <si>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</si>
  <si>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</si>
  <si>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</si>
  <si>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</si>
  <si>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</si>
  <si>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</si>
  <si>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</si>
  <si>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</si>
  <si>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</si>
  <si>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</si>
  <si>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</si>
  <si>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</si>
  <si>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</si>
  <si>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</si>
  <si>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</si>
  <si>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</si>
  <si>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</si>
  <si>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</si>
  <si>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</si>
  <si>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</si>
  <si>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</si>
  <si>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</si>
  <si>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</si>
  <si>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</si>
  <si>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</si>
  <si>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</si>
  <si>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</si>
  <si>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</si>
  <si>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</si>
  <si>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</si>
  <si>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</si>
  <si>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</si>
  <si>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</si>
  <si>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</si>
  <si>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</si>
  <si>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</si>
  <si>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</si>
  <si>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</si>
  <si>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</si>
  <si>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</si>
  <si>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</si>
  <si>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</si>
  <si>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</si>
  <si>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</si>
  <si>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</si>
  <si>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</si>
  <si>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</si>
  <si>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</si>
  <si>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</si>
  <si>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</si>
  <si>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</si>
  <si>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</si>
  <si>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</si>
  <si>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</si>
  <si>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</si>
  <si>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</si>
  <si>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</si>
  <si>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</si>
  <si>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</si>
  <si>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</si>
  <si>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</si>
  <si>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</si>
  <si>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</si>
  <si>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</si>
  <si>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</si>
  <si>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</si>
  <si>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</si>
  <si>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</si>
  <si>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</si>
  <si>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</si>
  <si>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</si>
  <si>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</si>
  <si>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</si>
  <si>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</si>
  <si>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</si>
  <si>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</si>
  <si>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</si>
  <si>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</si>
  <si>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</si>
  <si>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</si>
  <si>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</si>
  <si>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</si>
  <si>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</si>
  <si>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</si>
  <si>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</si>
  <si>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</si>
  <si>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</si>
  <si>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</si>
  <si>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</si>
  <si>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</si>
  <si>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</si>
  <si>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</si>
  <si>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</si>
  <si>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</si>
  <si>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</si>
  <si>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</si>
  <si>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</si>
  <si>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</si>
  <si>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</si>
  <si>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</si>
  <si>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</si>
  <si>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</si>
  <si>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</si>
  <si>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</si>
  <si>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</si>
  <si>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</si>
  <si>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</si>
  <si>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</si>
  <si>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</si>
  <si>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</si>
  <si>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</si>
  <si>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</si>
  <si>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</si>
  <si>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</si>
  <si>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</si>
  <si>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</si>
  <si>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</si>
  <si>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</si>
  <si>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</si>
  <si>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</si>
  <si>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</si>
  <si>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</si>
  <si>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</si>
  <si>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</si>
  <si>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</si>
  <si>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</si>
  <si>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</si>
  <si>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</si>
  <si>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</si>
  <si>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</si>
  <si>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</si>
  <si>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</si>
  <si>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</si>
  <si>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</si>
  <si>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</si>
  <si>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</si>
  <si>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</si>
  <si>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</si>
  <si>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</si>
  <si>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</si>
  <si>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</si>
  <si>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</si>
  <si>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</si>
  <si>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</si>
  <si>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</si>
  <si>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</si>
  <si>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</si>
  <si>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</si>
  <si>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</si>
  <si>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</si>
  <si>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</si>
  <si>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</si>
  <si>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</si>
  <si>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</si>
  <si>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</si>
  <si>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</si>
  <si>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</si>
  <si>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</si>
  <si>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</si>
  <si>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</si>
  <si>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</si>
  <si>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</si>
  <si>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</si>
  <si>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</si>
  <si>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</si>
  <si>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</si>
  <si>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</si>
  <si>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</si>
  <si>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</si>
  <si>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</si>
  <si>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</si>
  <si>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</si>
  <si>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</si>
  <si>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</si>
  <si>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</si>
  <si>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</si>
  <si>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</si>
  <si>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</si>
  <si>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</si>
  <si>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</si>
  <si>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</si>
  <si>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</si>
  <si>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</si>
  <si>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</si>
  <si>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</si>
  <si>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</si>
  <si>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</si>
  <si>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</si>
  <si>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</si>
  <si>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</si>
  <si>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</si>
  <si>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</si>
  <si>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</si>
  <si>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</si>
  <si>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</si>
  <si>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</si>
  <si>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</si>
  <si>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</si>
  <si>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</si>
  <si>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</si>
  <si>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</si>
  <si>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</si>
  <si>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</si>
  <si>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</si>
  <si>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</si>
  <si>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</si>
  <si>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</si>
  <si>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</si>
  <si>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</si>
  <si>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</si>
  <si>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</si>
  <si>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</si>
  <si>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</si>
  <si>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</si>
  <si>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</si>
  <si>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</si>
  <si>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</si>
  <si>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</si>
  <si>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</si>
  <si>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</si>
  <si>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</si>
  <si>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</si>
  <si>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</si>
  <si>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</si>
  <si>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</si>
  <si>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</si>
  <si>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</si>
  <si>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</si>
  <si>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</si>
  <si>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</si>
  <si>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</si>
  <si>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</si>
  <si>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</si>
  <si>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</si>
  <si>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</si>
  <si>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</si>
  <si>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</si>
  <si>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</si>
  <si>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</si>
  <si>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</si>
  <si>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</si>
  <si>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</si>
  <si>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</si>
  <si>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</si>
  <si>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</si>
  <si>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</si>
  <si>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</si>
  <si>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</si>
  <si>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</si>
  <si>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</si>
  <si>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</si>
  <si>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</si>
  <si>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</si>
  <si>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</si>
  <si>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</si>
  <si>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</si>
  <si>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</si>
  <si>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</si>
  <si>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</si>
  <si>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</si>
  <si>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</si>
  <si>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</si>
  <si>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</si>
  <si>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</si>
  <si>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</si>
  <si>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</si>
  <si>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</si>
  <si>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</si>
  <si>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</si>
  <si>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</si>
  <si>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</si>
  <si>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</si>
  <si>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</si>
  <si>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</si>
  <si>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</si>
  <si>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</si>
  <si>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</si>
  <si>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</si>
  <si>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</si>
  <si>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</si>
  <si>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</si>
  <si>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</si>
  <si>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</si>
  <si>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</si>
  <si>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</si>
  <si>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</si>
  <si>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</si>
  <si>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</si>
  <si>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</si>
  <si>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</si>
  <si>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</si>
  <si>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</si>
  <si>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</si>
  <si>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</si>
  <si>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</si>
  <si>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</si>
  <si>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</si>
  <si>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</si>
  <si>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</si>
  <si>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</si>
  <si>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</si>
  <si>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</si>
  <si>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</si>
  <si>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</si>
  <si>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</si>
  <si>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</si>
  <si>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</si>
  <si>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</si>
  <si>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</si>
  <si>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</si>
  <si>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</si>
  <si>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</si>
  <si>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</si>
  <si>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</si>
  <si>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</si>
  <si>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</si>
  <si>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</si>
  <si>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</si>
  <si>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</si>
  <si>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</si>
  <si>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</si>
  <si>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</si>
  <si>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</si>
  <si>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</si>
  <si>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</si>
  <si>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</si>
  <si>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</si>
  <si>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</si>
  <si>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</si>
  <si>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</si>
  <si>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</si>
  <si>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</si>
  <si>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</si>
  <si>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</si>
  <si>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</si>
  <si>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</si>
  <si>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</si>
  <si>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</si>
  <si>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</si>
  <si>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</si>
  <si>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</si>
  <si>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</si>
  <si>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</si>
  <si>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</si>
  <si>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</si>
  <si>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</si>
  <si>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</si>
  <si>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</si>
  <si>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</si>
  <si>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</si>
  <si>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</si>
  <si>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</si>
  <si>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</si>
  <si>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</si>
  <si>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</si>
  <si>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</si>
  <si>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</si>
  <si>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</si>
  <si>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</si>
  <si>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</si>
  <si>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</si>
  <si>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</si>
  <si>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</si>
  <si>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</si>
  <si>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</si>
  <si>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</si>
  <si>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</si>
  <si>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</si>
  <si>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</si>
  <si>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</si>
  <si>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</si>
  <si>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</si>
  <si>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</si>
  <si>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</si>
  <si>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</si>
  <si>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</si>
  <si>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</si>
  <si>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</si>
  <si>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</si>
  <si>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</si>
  <si>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</si>
  <si>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</si>
  <si>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</si>
  <si>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</si>
  <si>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</si>
  <si>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</si>
  <si>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</si>
  <si>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</si>
  <si>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</si>
  <si>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</si>
  <si>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</si>
  <si>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</si>
  <si>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</si>
  <si>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</si>
  <si>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</si>
  <si>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</si>
  <si>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</si>
  <si>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</si>
  <si>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</si>
  <si>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</si>
  <si>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</si>
  <si>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</si>
  <si>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</si>
  <si>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</si>
  <si>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</si>
  <si>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</si>
  <si>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</si>
  <si>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</si>
  <si>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</si>
  <si>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</si>
  <si>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</si>
  <si>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</si>
  <si>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</si>
  <si>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</si>
  <si>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</si>
  <si>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</si>
  <si>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</si>
  <si>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</si>
  <si>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</si>
  <si>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</si>
  <si>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</si>
  <si>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</si>
  <si>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</si>
  <si>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</si>
  <si>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</si>
  <si>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</si>
  <si>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</si>
  <si>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</si>
  <si>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</si>
  <si>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</si>
  <si>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</si>
  <si>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</si>
  <si>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</si>
  <si>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</si>
  <si>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</si>
  <si>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</si>
  <si>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</si>
  <si>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</si>
  <si>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</si>
  <si>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</si>
  <si>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</si>
  <si>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</si>
  <si>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</si>
  <si>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</si>
  <si>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</si>
  <si>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</si>
  <si>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</si>
  <si>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</si>
  <si>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</si>
  <si>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</si>
  <si>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</si>
  <si>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</si>
  <si>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</si>
  <si>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</si>
  <si>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</si>
  <si>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</si>
  <si>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</si>
  <si>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</si>
  <si>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</si>
  <si>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</si>
  <si>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</si>
  <si>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</si>
  <si>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</si>
  <si>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</si>
  <si>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</si>
  <si>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</si>
  <si>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</si>
  <si>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</si>
  <si>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</si>
  <si>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</si>
  <si>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</si>
  <si>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</si>
  <si>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</si>
  <si>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</si>
  <si>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</si>
  <si>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</si>
  <si>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</si>
  <si>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</si>
  <si>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</si>
  <si>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</si>
  <si>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</si>
  <si>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</si>
  <si>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</si>
  <si>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</si>
  <si>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</si>
  <si>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</si>
  <si>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</si>
  <si>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</si>
  <si>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</si>
  <si>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</si>
  <si>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</si>
  <si>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</si>
  <si>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</si>
  <si>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</si>
  <si>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</si>
  <si>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</si>
  <si>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</si>
  <si>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</si>
  <si>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</si>
  <si>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</si>
  <si>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</si>
  <si>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</si>
  <si>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</si>
  <si>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</si>
  <si>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</si>
  <si>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</si>
  <si>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</si>
  <si>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</si>
  <si>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</si>
  <si>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</si>
  <si>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</si>
  <si>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</si>
  <si>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</si>
  <si>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</si>
  <si>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</si>
  <si>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</si>
  <si>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</si>
  <si>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</si>
  <si>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</si>
  <si>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</si>
  <si>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</si>
  <si>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</si>
  <si>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</si>
  <si>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</si>
  <si>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</si>
  <si>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</si>
  <si>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</si>
  <si>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</si>
  <si>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</si>
  <si>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</si>
  <si>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</si>
  <si>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</si>
  <si>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</si>
  <si>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</si>
  <si>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</si>
  <si>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</si>
  <si>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</si>
  <si>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</si>
  <si>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</si>
  <si>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</si>
  <si>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</si>
  <si>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</si>
  <si>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</si>
  <si>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</si>
  <si>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</si>
  <si>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</si>
  <si>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</si>
  <si>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</si>
  <si>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</si>
  <si>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</si>
  <si>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</si>
  <si>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</si>
  <si>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</si>
  <si>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</si>
  <si>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</si>
  <si>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</si>
  <si>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</si>
  <si>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</si>
  <si>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</si>
  <si>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</si>
  <si>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</si>
  <si>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</si>
  <si>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</si>
  <si>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</si>
  <si>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</si>
  <si>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</si>
  <si>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</si>
  <si>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</si>
  <si>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</si>
  <si>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</si>
  <si>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</si>
  <si>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</si>
  <si>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</si>
  <si>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</si>
  <si>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</si>
  <si>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</si>
  <si>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</si>
  <si>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</si>
  <si>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</si>
  <si>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</si>
  <si>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</si>
  <si>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</si>
  <si>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</si>
  <si>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</si>
  <si>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</si>
  <si>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</si>
  <si>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</si>
  <si>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</si>
  <si>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</si>
  <si>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</si>
  <si>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</si>
  <si>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</si>
  <si>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</si>
  <si>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</si>
  <si>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</si>
  <si>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</si>
  <si>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</si>
  <si>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</si>
  <si>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</si>
  <si>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</si>
  <si>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</si>
  <si>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</si>
  <si>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</si>
  <si>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</si>
  <si>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</si>
  <si>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</si>
  <si>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</si>
  <si>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</si>
  <si>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</si>
  <si>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</si>
  <si>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</si>
  <si>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</si>
  <si>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</si>
  <si>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</si>
  <si>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</si>
  <si>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</si>
  <si>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</si>
  <si>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</si>
  <si>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</si>
  <si>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</si>
  <si>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</si>
  <si>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</si>
  <si>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</si>
  <si>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</si>
  <si>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</si>
  <si>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</si>
  <si>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</si>
  <si>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</si>
  <si>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</si>
  <si>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</si>
  <si>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</si>
  <si>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</si>
  <si>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</si>
  <si>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</si>
  <si>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</si>
  <si>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</si>
  <si>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</si>
  <si>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</si>
  <si>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</si>
  <si>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</si>
  <si>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select...</t>
  </si>
  <si>
    <t>6.0_2021_02_11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</si>
</sst>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Border="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168" fontId="103" fillId="0" borderId="0" xfId="0" applyNumberFormat="1" applyFont="1" applyFill="1" applyBorder="1" applyAlignment="1" applyProtection="1">
      <alignment horizontal="left"/>
      <protection locked="0"/>
    </xf>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16" fillId="0" borderId="0" xfId="6" applyFont="1" applyFill="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Fill="1" applyBorder="1" applyAlignment="1" applyProtection="1">
      <alignment horizontal="center" vertical="center"/>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17" fillId="0" borderId="6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60" xfId="0" applyFont="1" applyFill="1" applyBorder="1" applyAlignment="1">
      <alignment horizontal="center" vertical="center" wrapText="1"/>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32" xfId="0" applyFont="1" applyFill="1" applyBorder="1" applyAlignment="1">
      <alignment horizontal="left" vertical="center" wrapText="1"/>
    </xf>
    <xf numFmtId="0" fontId="17" fillId="0" borderId="16" xfId="0" applyFont="1" applyFill="1" applyBorder="1" applyAlignment="1" applyProtection="1">
      <alignment horizontal="center" vertical="center"/>
      <protection hidden="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0</c:v>
                </c:pt>
                <c:pt idx="1">
                  <c:v>0.92482240795754933</c:v>
                </c:pt>
                <c:pt idx="2">
                  <c:v>114.67797858673612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0</c:v>
                </c:pt>
                <c:pt idx="1">
                  <c:v>0.38772920688421864</c:v>
                </c:pt>
                <c:pt idx="2">
                  <c:v>48.078421653643112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0</c:v>
                </c:pt>
                <c:pt idx="1">
                  <c:v>1.2666666666666666</c:v>
                </c:pt>
                <c:pt idx="2" formatCode="General">
                  <c:v>198.73333333333332</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0</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0</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0</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0</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0</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0</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-52.334191473572488</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4.png"/><Relationship Id="rId1"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VOS"/><Relationship Id="rId18" Type="http://schemas.openxmlformats.org/officeDocument/2006/relationships/hyperlink" Target="#'Interactive Data Grading'!Lm"/><Relationship Id="rId3" Type="http://schemas.openxmlformats.org/officeDocument/2006/relationships/image" Target="../media/image4.emf"/><Relationship Id="rId21" Type="http://schemas.openxmlformats.org/officeDocument/2006/relationships/hyperlink" Target="#'Interactive Data Grading'!CRUC"/><Relationship Id="rId7" Type="http://schemas.openxmlformats.org/officeDocument/2006/relationships/hyperlink" Target="#'Interactive Data Grading'!BMAC"/><Relationship Id="rId12" Type="http://schemas.openxmlformats.org/officeDocument/2006/relationships/hyperlink" Target="#'Interactive Data Grading'!WIEA"/><Relationship Id="rId17" Type="http://schemas.openxmlformats.org/officeDocument/2006/relationships/hyperlink" Target="#'Interactive Data Grading'!AOP"/><Relationship Id="rId25" Type="http://schemas.openxmlformats.org/officeDocument/2006/relationships/image" Target="../media/image1.png"/><Relationship Id="rId2" Type="http://schemas.openxmlformats.org/officeDocument/2006/relationships/hyperlink" Target="#'Interactive Data Grading'!CMI"/><Relationship Id="rId16" Type="http://schemas.openxmlformats.org/officeDocument/2006/relationships/image" Target="../media/image6.emf"/><Relationship Id="rId20" Type="http://schemas.openxmlformats.org/officeDocument/2006/relationships/hyperlink" Target="#'Interactive Data Grading'!Lp"/><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Relationship Id="rId24" Type="http://schemas.openxmlformats.org/officeDocument/2006/relationships/hyperlink" Target="#'Interactive Data Grading'!UUAC"/><Relationship Id="rId5" Type="http://schemas.openxmlformats.org/officeDocument/2006/relationships/hyperlink" Target="#'Interactive Data Grading'!UC"/><Relationship Id="rId15" Type="http://schemas.openxmlformats.org/officeDocument/2006/relationships/hyperlink" Target="#'Interactive Data Grading'!WI"/><Relationship Id="rId23" Type="http://schemas.openxmlformats.org/officeDocument/2006/relationships/hyperlink" Target="#'Interactive Data Grading'!VPC"/><Relationship Id="rId10" Type="http://schemas.openxmlformats.org/officeDocument/2006/relationships/hyperlink" Target="#'Interactive Data Grading'!WEEA"/><Relationship Id="rId19" Type="http://schemas.openxmlformats.org/officeDocument/2006/relationships/hyperlink" Target="#'Interactive Data Grading'!Nc"/><Relationship Id="rId4" Type="http://schemas.openxmlformats.org/officeDocument/2006/relationships/hyperlink" Target="#'Interactive Data Grading'!SDHE"/><Relationship Id="rId9" Type="http://schemas.openxmlformats.org/officeDocument/2006/relationships/hyperlink" Target="#'Interactive Data Grading'!BUAC"/><Relationship Id="rId14" Type="http://schemas.openxmlformats.org/officeDocument/2006/relationships/hyperlink" Target="#'Interactive Data Grading'!VOSEA"/><Relationship Id="rId22" Type="http://schemas.openxmlformats.org/officeDocument/2006/relationships/image" Target="../media/image7.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4.png"/><Relationship Id="rId3" Type="http://schemas.openxmlformats.org/officeDocument/2006/relationships/chart" Target="../charts/chart4.xml"/><Relationship Id="rId21" Type="http://schemas.openxmlformats.org/officeDocument/2006/relationships/image" Target="../media/image1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17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17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179"/>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180"/>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181"/>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182"/>
                  </a:ext>
                </a:extLst>
              </xdr:cNvPicPr>
            </xdr:nvPicPr>
            <xdr:blipFill rotWithShape="1">
              <a:blip xmlns:r="http://schemas.openxmlformats.org/officeDocument/2006/relationships" r:embed="rId6"/>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9"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183"/>
                  </a:ext>
                </a:extLst>
              </xdr:cNvPicPr>
            </xdr:nvPicPr>
            <xdr:blipFill rotWithShape="1">
              <a:blip xmlns:r="http://schemas.openxmlformats.org/officeDocument/2006/relationships" r:embed="rId6"/>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0"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184"/>
                  </a:ext>
                </a:extLst>
              </xdr:cNvPicPr>
            </xdr:nvPicPr>
            <xdr:blipFill rotWithShape="1">
              <a:blip xmlns:r="http://schemas.openxmlformats.org/officeDocument/2006/relationships" r:embed="rId6"/>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1"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185"/>
                  </a:ext>
                </a:extLst>
              </xdr:cNvPicPr>
            </xdr:nvPicPr>
            <xdr:blipFill rotWithShape="1">
              <a:blip xmlns:r="http://schemas.openxmlformats.org/officeDocument/2006/relationships" r:embed="rId6"/>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2"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186"/>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3"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187"/>
                  </a:ext>
                </a:extLst>
              </xdr:cNvPicPr>
            </xdr:nvPicPr>
            <xdr:blipFill rotWithShape="1">
              <a:blip xmlns:r="http://schemas.openxmlformats.org/officeDocument/2006/relationships" r:embed="rId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4"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188"/>
                  </a:ext>
                </a:extLst>
              </xdr:cNvPicPr>
            </xdr:nvPicPr>
            <xdr:blipFill rotWithShape="1">
              <a:blip xmlns:r="http://schemas.openxmlformats.org/officeDocument/2006/relationships" r:embed="rId6"/>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5"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189"/>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7"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190"/>
                  </a:ext>
                </a:extLst>
              </xdr:cNvPicPr>
            </xdr:nvPicPr>
            <xdr:blipFill rotWithShape="1">
              <a:blip xmlns:r="http://schemas.openxmlformats.org/officeDocument/2006/relationships" r:embed="rId1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8"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191"/>
                  </a:ext>
                </a:extLst>
              </xdr:cNvPicPr>
            </xdr:nvPicPr>
            <xdr:blipFill rotWithShape="1">
              <a:blip xmlns:r="http://schemas.openxmlformats.org/officeDocument/2006/relationships" r:embed="rId1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19"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192"/>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0"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193"/>
                  </a:ext>
                </a:extLst>
              </xdr:cNvPicPr>
            </xdr:nvPicPr>
            <xdr:blipFill rotWithShape="1">
              <a:blip xmlns:r="http://schemas.openxmlformats.org/officeDocument/2006/relationships" r:embed="rId1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1"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194"/>
                  </a:ext>
                </a:extLst>
              </xdr:cNvPicPr>
            </xdr:nvPicPr>
            <xdr:blipFill rotWithShape="1">
              <a:blip xmlns:r="http://schemas.openxmlformats.org/officeDocument/2006/relationships" r:embed="rId22"/>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3"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195"/>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4"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2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t="str">
        <f>'Interactive Data Grading'!D446</f>
        <v/>
      </c>
      <c r="C18" s="603" t="s">
        <v>656</v>
      </c>
      <c r="D18" s="602" t="s">
        <v>651</v>
      </c>
      <c r="E18" s="240"/>
      <c r="F18" s="240"/>
      <c r="G18" s="260" t="str">
        <f>'Interactive Data Grading'!D446</f>
        <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B2" sqref="B2:BB2"/>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1275</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39" t="s">
        <v>1191</v>
      </c>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1"/>
      <c r="AJ2" s="1141"/>
      <c r="AK2" s="1141"/>
      <c r="AL2" s="1141"/>
      <c r="AM2" s="1141"/>
      <c r="AN2" s="1141"/>
      <c r="AO2" s="1141"/>
      <c r="AP2" s="1141"/>
      <c r="AQ2" s="1141"/>
      <c r="AR2" s="1141"/>
      <c r="AS2" s="1141"/>
      <c r="AT2" s="1141"/>
      <c r="AU2" s="1141"/>
      <c r="AV2" s="1141"/>
      <c r="AW2" s="1141"/>
      <c r="AX2" s="1141"/>
      <c r="AY2" s="1141"/>
      <c r="AZ2" s="1141"/>
      <c r="BA2" s="1141"/>
      <c r="BB2" s="1142"/>
      <c r="BC2" s="114"/>
    </row>
    <row r="3" spans="1:55" s="54" customFormat="1" ht="12.95" customHeight="1">
      <c r="A3" s="113"/>
      <c r="B3" s="1150" t="s">
        <v>1242</v>
      </c>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2"/>
      <c r="BC3" s="113"/>
    </row>
    <row r="4" spans="1:55" s="54" customFormat="1" ht="12.95" customHeight="1">
      <c r="A4" s="113"/>
      <c r="B4" s="1150"/>
      <c r="C4" s="1151"/>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2"/>
      <c r="BC4" s="113"/>
    </row>
    <row r="5" spans="1:55" s="54" customFormat="1" ht="12.95" customHeight="1">
      <c r="A5" s="113"/>
      <c r="B5" s="1150"/>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151"/>
      <c r="AZ5" s="1151"/>
      <c r="BA5" s="1151"/>
      <c r="BB5" s="1152"/>
      <c r="BC5" s="113"/>
    </row>
    <row r="6" spans="1:55" s="54" customFormat="1" ht="12.95" customHeight="1">
      <c r="A6" s="113"/>
      <c r="B6" s="1150"/>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c r="AG6" s="1151"/>
      <c r="AH6" s="1151"/>
      <c r="AI6" s="1151"/>
      <c r="AJ6" s="1151"/>
      <c r="AK6" s="1151"/>
      <c r="AL6" s="1151"/>
      <c r="AM6" s="1151"/>
      <c r="AN6" s="1151"/>
      <c r="AO6" s="1151"/>
      <c r="AP6" s="1151"/>
      <c r="AQ6" s="1151"/>
      <c r="AR6" s="1151"/>
      <c r="AS6" s="1151"/>
      <c r="AT6" s="1151"/>
      <c r="AU6" s="1151"/>
      <c r="AV6" s="1151"/>
      <c r="AW6" s="1151"/>
      <c r="AX6" s="1151"/>
      <c r="AY6" s="1151"/>
      <c r="AZ6" s="1151"/>
      <c r="BA6" s="1151"/>
      <c r="BB6" s="1152"/>
      <c r="BC6" s="113"/>
    </row>
    <row r="7" spans="1:55" s="54" customFormat="1" ht="12.95" customHeight="1">
      <c r="A7" s="113"/>
      <c r="B7" s="733"/>
      <c r="C7" s="1147" t="s">
        <v>1213</v>
      </c>
      <c r="D7" s="1147"/>
      <c r="E7" s="1147"/>
      <c r="F7" s="1147"/>
      <c r="G7" s="1147"/>
      <c r="H7" s="1147"/>
      <c r="I7" s="1147"/>
      <c r="J7" s="1147"/>
      <c r="K7" s="1147"/>
      <c r="L7" s="1147"/>
      <c r="M7" s="1147"/>
      <c r="N7" s="1147"/>
      <c r="O7" s="1147"/>
      <c r="P7" s="1147"/>
      <c r="Q7" s="1147"/>
      <c r="R7" s="1147"/>
      <c r="S7" s="1147"/>
      <c r="T7" s="1147"/>
      <c r="U7" s="1143" t="s">
        <v>1015</v>
      </c>
      <c r="V7" s="1143"/>
      <c r="W7" s="1143"/>
      <c r="X7" s="1143"/>
      <c r="Y7" s="1143"/>
      <c r="Z7" s="1143"/>
      <c r="AA7" s="1143"/>
      <c r="AB7" s="1143"/>
      <c r="AC7" s="1143"/>
      <c r="AD7" s="1143"/>
      <c r="AE7" s="1143"/>
      <c r="AF7" s="1143"/>
      <c r="AG7" s="1143"/>
      <c r="AH7" s="1143"/>
      <c r="AI7" s="1143"/>
      <c r="AJ7" s="1143"/>
      <c r="AK7" s="1143"/>
      <c r="AL7" s="1143"/>
      <c r="AM7" s="1143"/>
      <c r="AN7" s="277"/>
      <c r="AO7" s="1143" t="s">
        <v>929</v>
      </c>
      <c r="AP7" s="1143"/>
      <c r="AQ7" s="1143"/>
      <c r="AR7" s="1143"/>
      <c r="AS7" s="1143"/>
      <c r="AT7" s="1143"/>
      <c r="AU7" s="1143"/>
      <c r="AV7" s="1143"/>
      <c r="AW7" s="1148" t="s">
        <v>1014</v>
      </c>
      <c r="AX7" s="1148"/>
      <c r="AY7" s="1148"/>
      <c r="AZ7" s="1148"/>
      <c r="BA7" s="1148"/>
      <c r="BB7" s="1149"/>
      <c r="BC7" s="113"/>
    </row>
    <row r="8" spans="1:55" s="54" customFormat="1" ht="16.899999999999999" customHeight="1">
      <c r="A8" s="113"/>
      <c r="B8" s="733"/>
      <c r="C8" s="1147"/>
      <c r="D8" s="1147"/>
      <c r="E8" s="1147"/>
      <c r="F8" s="1147"/>
      <c r="G8" s="1147"/>
      <c r="H8" s="1147"/>
      <c r="I8" s="1147"/>
      <c r="J8" s="1147"/>
      <c r="K8" s="1147"/>
      <c r="L8" s="1147"/>
      <c r="M8" s="1147"/>
      <c r="N8" s="1147"/>
      <c r="O8" s="1147"/>
      <c r="P8" s="1147"/>
      <c r="Q8" s="1147"/>
      <c r="R8" s="1147"/>
      <c r="S8" s="1147"/>
      <c r="T8" s="1147"/>
      <c r="U8" s="1143"/>
      <c r="V8" s="1143"/>
      <c r="W8" s="1143"/>
      <c r="X8" s="1143"/>
      <c r="Y8" s="1143"/>
      <c r="Z8" s="1143"/>
      <c r="AA8" s="1143"/>
      <c r="AB8" s="1143"/>
      <c r="AC8" s="1143"/>
      <c r="AD8" s="1143"/>
      <c r="AE8" s="1143"/>
      <c r="AF8" s="1143"/>
      <c r="AG8" s="1143"/>
      <c r="AH8" s="1143"/>
      <c r="AI8" s="1143"/>
      <c r="AJ8" s="1143"/>
      <c r="AK8" s="1143"/>
      <c r="AL8" s="1143"/>
      <c r="AM8" s="1143"/>
      <c r="AN8" s="277"/>
      <c r="AO8" s="1143"/>
      <c r="AP8" s="1143"/>
      <c r="AQ8" s="1143"/>
      <c r="AR8" s="1143"/>
      <c r="AS8" s="1143"/>
      <c r="AT8" s="1143"/>
      <c r="AU8" s="1143"/>
      <c r="AV8" s="1143"/>
      <c r="AW8" s="1148"/>
      <c r="AX8" s="1148"/>
      <c r="AY8" s="1148"/>
      <c r="AZ8" s="1148"/>
      <c r="BA8" s="1148"/>
      <c r="BB8" s="1149"/>
      <c r="BC8" s="113"/>
    </row>
    <row r="9" spans="1:55" s="54" customFormat="1" ht="12.95" customHeight="1">
      <c r="A9" s="113"/>
      <c r="B9" s="1153" t="s">
        <v>936</v>
      </c>
      <c r="C9" s="1154"/>
      <c r="D9" s="1154"/>
      <c r="E9" s="1154"/>
      <c r="F9" s="1154"/>
      <c r="G9" s="1113" t="s">
        <v>937</v>
      </c>
      <c r="H9" s="1113"/>
      <c r="I9" s="1113"/>
      <c r="J9" s="1113"/>
      <c r="K9" s="1113"/>
      <c r="L9" s="1113"/>
      <c r="M9" s="1113"/>
      <c r="N9" s="1113"/>
      <c r="O9" s="1113"/>
      <c r="P9" s="1113"/>
      <c r="Q9" s="1113"/>
      <c r="R9" s="1113"/>
      <c r="S9" s="1113"/>
      <c r="T9" s="1113"/>
      <c r="U9" s="691"/>
      <c r="V9" s="691"/>
      <c r="W9" s="691"/>
      <c r="X9" s="691"/>
      <c r="Y9" s="691"/>
      <c r="Z9" s="691"/>
      <c r="AA9" s="692" t="s">
        <v>771</v>
      </c>
      <c r="AB9" s="1120"/>
      <c r="AC9" s="1121"/>
      <c r="AD9" s="1121"/>
      <c r="AE9" s="1121"/>
      <c r="AF9" s="1121"/>
      <c r="AG9" s="1121"/>
      <c r="AH9" s="1121"/>
      <c r="AI9" s="1121"/>
      <c r="AJ9" s="1121"/>
      <c r="AK9" s="1121"/>
      <c r="AL9" s="1122"/>
      <c r="AM9" s="277"/>
      <c r="AN9" s="277"/>
      <c r="AO9"/>
      <c r="AP9" s="693" t="s">
        <v>907</v>
      </c>
      <c r="AQ9" s="694" t="s">
        <v>272</v>
      </c>
      <c r="AR9" s="695"/>
      <c r="AS9" s="277"/>
      <c r="AT9" s="277"/>
      <c r="AU9" s="277"/>
      <c r="AV9"/>
      <c r="AW9"/>
      <c r="AX9"/>
      <c r="AY9"/>
      <c r="AZ9"/>
      <c r="BA9"/>
      <c r="BB9" s="690"/>
      <c r="BC9" s="113"/>
    </row>
    <row r="10" spans="1:55" s="54" customFormat="1" ht="12.95" customHeight="1">
      <c r="A10" s="113"/>
      <c r="B10" s="1153"/>
      <c r="C10" s="1154"/>
      <c r="D10" s="1154"/>
      <c r="E10" s="1154"/>
      <c r="F10" s="1154"/>
      <c r="G10" s="1113"/>
      <c r="H10" s="1113"/>
      <c r="I10" s="1113"/>
      <c r="J10" s="1113"/>
      <c r="K10" s="1113"/>
      <c r="L10" s="1113"/>
      <c r="M10" s="1113"/>
      <c r="N10" s="1113"/>
      <c r="O10" s="1113"/>
      <c r="P10" s="1113"/>
      <c r="Q10" s="1113"/>
      <c r="R10" s="1113"/>
      <c r="S10" s="1113"/>
      <c r="T10" s="1113"/>
      <c r="U10" s="691"/>
      <c r="V10" s="691"/>
      <c r="W10" s="691"/>
      <c r="X10" s="691"/>
      <c r="Y10" s="691"/>
      <c r="Z10" s="691"/>
      <c r="AA10" s="692" t="s">
        <v>143</v>
      </c>
      <c r="AB10" s="1120"/>
      <c r="AC10" s="1121"/>
      <c r="AD10" s="1121"/>
      <c r="AE10" s="1121"/>
      <c r="AF10" s="1121"/>
      <c r="AG10" s="1121"/>
      <c r="AH10" s="1121"/>
      <c r="AI10" s="1121"/>
      <c r="AJ10" s="1121"/>
      <c r="AK10" s="1121"/>
      <c r="AL10" s="1122"/>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53"/>
      <c r="C11" s="1154"/>
      <c r="D11" s="1154"/>
      <c r="E11" s="1154"/>
      <c r="F11" s="1154"/>
      <c r="G11" s="1113"/>
      <c r="H11" s="1113"/>
      <c r="I11" s="1113"/>
      <c r="J11" s="1113"/>
      <c r="K11" s="1113"/>
      <c r="L11" s="1113"/>
      <c r="M11" s="1113"/>
      <c r="N11" s="1113"/>
      <c r="O11" s="1113"/>
      <c r="P11" s="1113"/>
      <c r="Q11" s="1113"/>
      <c r="R11" s="1113"/>
      <c r="S11" s="1113"/>
      <c r="T11" s="1113"/>
      <c r="U11" s="691"/>
      <c r="V11" s="691"/>
      <c r="W11" s="691"/>
      <c r="X11" s="691"/>
      <c r="Y11" s="691"/>
      <c r="Z11" s="691"/>
      <c r="AA11" s="692" t="s">
        <v>998</v>
      </c>
      <c r="AB11" s="1144"/>
      <c r="AC11" s="1145"/>
      <c r="AD11" s="1145"/>
      <c r="AE11" s="1145"/>
      <c r="AF11" s="1145"/>
      <c r="AG11" s="1145"/>
      <c r="AH11" s="1145"/>
      <c r="AI11" s="1145"/>
      <c r="AJ11" s="1145"/>
      <c r="AK11" s="1145"/>
      <c r="AL11" s="1146"/>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53" t="s">
        <v>667</v>
      </c>
      <c r="C12" s="1154"/>
      <c r="D12" s="1154"/>
      <c r="E12" s="1154"/>
      <c r="F12" s="1154"/>
      <c r="G12" s="1113" t="s">
        <v>939</v>
      </c>
      <c r="H12" s="1113"/>
      <c r="I12" s="1113"/>
      <c r="J12" s="1113"/>
      <c r="K12" s="1113"/>
      <c r="L12" s="1113"/>
      <c r="M12" s="1113"/>
      <c r="N12" s="1113"/>
      <c r="O12" s="1113"/>
      <c r="P12" s="1113"/>
      <c r="Q12" s="1113"/>
      <c r="R12" s="1113"/>
      <c r="S12" s="1113"/>
      <c r="T12" s="1113"/>
      <c r="U12" s="691"/>
      <c r="V12" s="691"/>
      <c r="W12" s="691"/>
      <c r="X12" s="691"/>
      <c r="Y12" s="691"/>
      <c r="Z12" s="691"/>
      <c r="AA12" s="692" t="s">
        <v>256</v>
      </c>
      <c r="AB12" s="1118"/>
      <c r="AC12" s="1116"/>
      <c r="AD12" s="1116"/>
      <c r="AE12" s="1116"/>
      <c r="AF12" s="1116"/>
      <c r="AG12" s="1116"/>
      <c r="AH12" s="1119"/>
      <c r="AI12" s="1116"/>
      <c r="AJ12" s="1116"/>
      <c r="AK12" s="1116"/>
      <c r="AL12" s="1117"/>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53"/>
      <c r="C13" s="1154"/>
      <c r="D13" s="1154"/>
      <c r="E13" s="1154"/>
      <c r="F13" s="1154"/>
      <c r="G13" s="1113"/>
      <c r="H13" s="1113"/>
      <c r="I13" s="1113"/>
      <c r="J13" s="1113"/>
      <c r="K13" s="1113"/>
      <c r="L13" s="1113"/>
      <c r="M13" s="1113"/>
      <c r="N13" s="1113"/>
      <c r="O13" s="1113"/>
      <c r="P13" s="1113"/>
      <c r="Q13" s="1113"/>
      <c r="R13" s="1113"/>
      <c r="S13" s="1113"/>
      <c r="T13" s="1113"/>
      <c r="U13" s="691"/>
      <c r="V13" s="691"/>
      <c r="W13" s="691"/>
      <c r="X13" s="691"/>
      <c r="Y13" s="691"/>
      <c r="Z13" s="691"/>
      <c r="AA13" s="692" t="s">
        <v>144</v>
      </c>
      <c r="AB13" s="1120"/>
      <c r="AC13" s="1121"/>
      <c r="AD13" s="1121"/>
      <c r="AE13" s="1121"/>
      <c r="AF13" s="1121"/>
      <c r="AG13" s="1121"/>
      <c r="AH13" s="1121"/>
      <c r="AI13" s="1121"/>
      <c r="AJ13" s="1121"/>
      <c r="AK13" s="1121"/>
      <c r="AL13" s="1122"/>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53"/>
      <c r="C14" s="1154"/>
      <c r="D14" s="1154"/>
      <c r="E14" s="1154"/>
      <c r="F14" s="1154"/>
      <c r="G14" s="1113"/>
      <c r="H14" s="1113"/>
      <c r="I14" s="1113"/>
      <c r="J14" s="1113"/>
      <c r="K14" s="1113"/>
      <c r="L14" s="1113"/>
      <c r="M14" s="1113"/>
      <c r="N14" s="1113"/>
      <c r="O14" s="1113"/>
      <c r="P14" s="1113"/>
      <c r="Q14" s="1113"/>
      <c r="R14" s="1113"/>
      <c r="S14" s="1113"/>
      <c r="T14" s="1113"/>
      <c r="U14" s="691"/>
      <c r="V14" s="691"/>
      <c r="W14" s="691"/>
      <c r="X14" s="691"/>
      <c r="Y14" s="691"/>
      <c r="Z14" s="691"/>
      <c r="AA14" s="692" t="s">
        <v>141</v>
      </c>
      <c r="AB14" s="1133"/>
      <c r="AC14" s="1134"/>
      <c r="AD14" s="1134"/>
      <c r="AE14" s="1134"/>
      <c r="AF14" s="1134"/>
      <c r="AG14" s="1134"/>
      <c r="AH14" s="1134"/>
      <c r="AI14" s="1134"/>
      <c r="AJ14" s="1134"/>
      <c r="AK14" s="1134"/>
      <c r="AL14" s="1135"/>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14" t="s">
        <v>673</v>
      </c>
      <c r="C15" s="1115"/>
      <c r="D15" s="1115"/>
      <c r="E15" s="1115"/>
      <c r="F15" s="1115"/>
      <c r="G15" s="1113" t="s">
        <v>940</v>
      </c>
      <c r="H15" s="1113"/>
      <c r="I15" s="1113"/>
      <c r="J15" s="1113"/>
      <c r="K15" s="1113"/>
      <c r="L15" s="1113"/>
      <c r="M15" s="1113"/>
      <c r="N15" s="1113"/>
      <c r="O15" s="1113"/>
      <c r="P15" s="1113"/>
      <c r="Q15" s="1113"/>
      <c r="R15" s="1113"/>
      <c r="S15" s="1113"/>
      <c r="T15" s="1113"/>
      <c r="U15" s="691"/>
      <c r="V15" s="691"/>
      <c r="W15" s="691"/>
      <c r="X15" s="691"/>
      <c r="Y15" s="691"/>
      <c r="Z15" s="691"/>
      <c r="AA15" s="706" t="s">
        <v>953</v>
      </c>
      <c r="AB15" s="1123"/>
      <c r="AC15" s="1123"/>
      <c r="AD15" s="1123"/>
      <c r="AE15" s="1123"/>
      <c r="AF15" s="1123"/>
      <c r="AG15" s="1123"/>
      <c r="AH15" s="1123"/>
      <c r="AI15" s="1123"/>
      <c r="AJ15" s="1123"/>
      <c r="AK15" s="1123"/>
      <c r="AL15" s="1123"/>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14"/>
      <c r="C16" s="1115"/>
      <c r="D16" s="1115"/>
      <c r="E16" s="1115"/>
      <c r="F16" s="1115"/>
      <c r="G16" s="1113"/>
      <c r="H16" s="1113"/>
      <c r="I16" s="1113"/>
      <c r="J16" s="1113"/>
      <c r="K16" s="1113"/>
      <c r="L16" s="1113"/>
      <c r="M16" s="1113"/>
      <c r="N16" s="1113"/>
      <c r="O16" s="1113"/>
      <c r="P16" s="1113"/>
      <c r="Q16" s="1113"/>
      <c r="R16" s="1113"/>
      <c r="S16" s="1113"/>
      <c r="T16" s="1113"/>
      <c r="U16" s="691"/>
      <c r="V16" s="691"/>
      <c r="W16" s="691"/>
      <c r="X16" s="691"/>
      <c r="Y16" s="691"/>
      <c r="Z16" s="691"/>
      <c r="AA16" s="692" t="s">
        <v>142</v>
      </c>
      <c r="AB16" s="1124"/>
      <c r="AC16" s="1125"/>
      <c r="AD16" s="1125"/>
      <c r="AE16" s="1125"/>
      <c r="AF16" s="1125"/>
      <c r="AG16" s="1125"/>
      <c r="AH16" s="1125"/>
      <c r="AI16" s="1125"/>
      <c r="AJ16" s="1125"/>
      <c r="AK16" s="1125"/>
      <c r="AL16" s="1126"/>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14"/>
      <c r="C17" s="1115"/>
      <c r="D17" s="1115"/>
      <c r="E17" s="1115"/>
      <c r="F17" s="1115"/>
      <c r="G17" s="1113"/>
      <c r="H17" s="1113"/>
      <c r="I17" s="1113"/>
      <c r="J17" s="1113"/>
      <c r="K17" s="1113"/>
      <c r="L17" s="1113"/>
      <c r="M17" s="1113"/>
      <c r="N17" s="1113"/>
      <c r="O17" s="1113"/>
      <c r="P17" s="1113"/>
      <c r="Q17" s="1113"/>
      <c r="R17" s="1113"/>
      <c r="S17" s="1113"/>
      <c r="T17" s="1113"/>
      <c r="U17" s="691"/>
      <c r="V17" s="691"/>
      <c r="W17" s="691"/>
      <c r="X17" s="691"/>
      <c r="Y17" s="691"/>
      <c r="Z17" s="691"/>
      <c r="AA17" s="692" t="s">
        <v>234</v>
      </c>
      <c r="AB17" s="1130"/>
      <c r="AC17" s="1131"/>
      <c r="AD17" s="1131"/>
      <c r="AE17" s="1131"/>
      <c r="AF17" s="1131"/>
      <c r="AG17" s="1131"/>
      <c r="AH17" s="1131"/>
      <c r="AI17" s="1131"/>
      <c r="AJ17" s="1131"/>
      <c r="AK17" s="1131"/>
      <c r="AL17" s="1132"/>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14" t="s">
        <v>1083</v>
      </c>
      <c r="C18" s="1115"/>
      <c r="D18" s="1115"/>
      <c r="E18" s="1115"/>
      <c r="F18" s="1115"/>
      <c r="G18" s="1113" t="s">
        <v>1086</v>
      </c>
      <c r="H18" s="1113"/>
      <c r="I18" s="1113"/>
      <c r="J18" s="1113"/>
      <c r="K18" s="1113"/>
      <c r="L18" s="1113"/>
      <c r="M18" s="1113"/>
      <c r="N18" s="1113"/>
      <c r="O18" s="1113"/>
      <c r="P18" s="1113"/>
      <c r="Q18" s="1113"/>
      <c r="R18" s="1113"/>
      <c r="S18" s="1113"/>
      <c r="T18" s="1113"/>
      <c r="U18" s="691"/>
      <c r="V18" s="691"/>
      <c r="W18" s="691"/>
      <c r="X18" s="691"/>
      <c r="Y18" s="691"/>
      <c r="Z18" s="691"/>
      <c r="AA18" s="692" t="s">
        <v>713</v>
      </c>
      <c r="AB18" s="1120"/>
      <c r="AC18" s="1121"/>
      <c r="AD18" s="1121"/>
      <c r="AE18" s="1121"/>
      <c r="AF18" s="1121"/>
      <c r="AG18" s="1121"/>
      <c r="AH18" s="1121"/>
      <c r="AI18" s="1121"/>
      <c r="AJ18" s="1121"/>
      <c r="AK18" s="1121"/>
      <c r="AL18" s="1122"/>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14"/>
      <c r="C19" s="1115"/>
      <c r="D19" s="1115"/>
      <c r="E19" s="1115"/>
      <c r="F19" s="1115"/>
      <c r="G19" s="1113"/>
      <c r="H19" s="1113"/>
      <c r="I19" s="1113"/>
      <c r="J19" s="1113"/>
      <c r="K19" s="1113"/>
      <c r="L19" s="1113"/>
      <c r="M19" s="1113"/>
      <c r="N19" s="1113"/>
      <c r="O19" s="1113"/>
      <c r="P19" s="1113"/>
      <c r="Q19" s="1113"/>
      <c r="R19" s="1113"/>
      <c r="S19" s="1113"/>
      <c r="T19" s="1113"/>
      <c r="U19" s="691"/>
      <c r="V19" s="691"/>
      <c r="W19" s="691"/>
      <c r="X19" s="691"/>
      <c r="Y19" s="691"/>
      <c r="Z19" s="691"/>
      <c r="AA19" s="692" t="s">
        <v>927</v>
      </c>
      <c r="AB19" s="1120"/>
      <c r="AC19" s="1121"/>
      <c r="AD19" s="1121"/>
      <c r="AE19" s="1121"/>
      <c r="AF19" s="1122"/>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14"/>
      <c r="C20" s="1115"/>
      <c r="D20" s="1115"/>
      <c r="E20" s="1115"/>
      <c r="F20" s="1115"/>
      <c r="G20" s="1113"/>
      <c r="H20" s="1113"/>
      <c r="I20" s="1113"/>
      <c r="J20" s="1113"/>
      <c r="K20" s="1113"/>
      <c r="L20" s="1113"/>
      <c r="M20" s="1113"/>
      <c r="N20" s="1113"/>
      <c r="O20" s="1113"/>
      <c r="P20" s="1113"/>
      <c r="Q20" s="1113"/>
      <c r="R20" s="1113"/>
      <c r="S20" s="1113"/>
      <c r="T20" s="1113"/>
      <c r="U20" s="691"/>
      <c r="V20" s="691"/>
      <c r="W20" s="691"/>
      <c r="X20" s="691"/>
      <c r="Y20" s="691"/>
      <c r="Z20" s="691"/>
      <c r="AA20" s="692" t="s">
        <v>1012</v>
      </c>
      <c r="AB20" s="1130"/>
      <c r="AC20" s="1131"/>
      <c r="AD20" s="1131"/>
      <c r="AE20" s="1131"/>
      <c r="AF20" s="1131"/>
      <c r="AG20" s="1131"/>
      <c r="AH20" s="1131"/>
      <c r="AI20" s="1131"/>
      <c r="AJ20" s="1131"/>
      <c r="AK20" s="1131"/>
      <c r="AL20" s="1132"/>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14" t="s">
        <v>942</v>
      </c>
      <c r="C21" s="1115"/>
      <c r="D21" s="1115"/>
      <c r="E21" s="1115"/>
      <c r="F21" s="1115"/>
      <c r="G21" s="1113" t="s">
        <v>974</v>
      </c>
      <c r="H21" s="1113"/>
      <c r="I21" s="1113"/>
      <c r="J21" s="1113"/>
      <c r="K21" s="1113"/>
      <c r="L21" s="1113"/>
      <c r="M21" s="1113"/>
      <c r="N21" s="1113"/>
      <c r="O21" s="1113"/>
      <c r="P21" s="1113"/>
      <c r="Q21" s="1113"/>
      <c r="R21" s="1113"/>
      <c r="S21" s="1113"/>
      <c r="T21" s="1113"/>
      <c r="U21" s="691"/>
      <c r="V21" s="691"/>
      <c r="W21" s="691"/>
      <c r="X21" s="691"/>
      <c r="Y21" s="691"/>
      <c r="Z21" s="691"/>
      <c r="AA21" s="692" t="s">
        <v>1013</v>
      </c>
      <c r="AB21" s="1136"/>
      <c r="AC21" s="1137"/>
      <c r="AD21" s="1137"/>
      <c r="AE21" s="1137"/>
      <c r="AF21" s="1137"/>
      <c r="AG21" s="1137"/>
      <c r="AH21" s="1137"/>
      <c r="AI21" s="1137"/>
      <c r="AJ21" s="1137"/>
      <c r="AK21" s="1137"/>
      <c r="AL21" s="1138"/>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14"/>
      <c r="C22" s="1115"/>
      <c r="D22" s="1115"/>
      <c r="E22" s="1115"/>
      <c r="F22" s="1115"/>
      <c r="G22" s="1113"/>
      <c r="H22" s="1113"/>
      <c r="I22" s="1113"/>
      <c r="J22" s="1113"/>
      <c r="K22" s="1113"/>
      <c r="L22" s="1113"/>
      <c r="M22" s="1113"/>
      <c r="N22" s="1113"/>
      <c r="O22" s="1113"/>
      <c r="P22" s="1113"/>
      <c r="Q22" s="1113"/>
      <c r="R22" s="1113"/>
      <c r="S22" s="1113"/>
      <c r="T22" s="1113"/>
      <c r="U22" s="691"/>
      <c r="V22" s="691"/>
      <c r="W22" s="691"/>
      <c r="X22" s="691"/>
      <c r="Y22" s="691"/>
      <c r="Z22" s="691"/>
      <c r="AA22" s="692" t="s">
        <v>238</v>
      </c>
      <c r="AB22" s="1127"/>
      <c r="AC22" s="1128"/>
      <c r="AD22" s="1128"/>
      <c r="AE22" s="1128"/>
      <c r="AF22" s="1128"/>
      <c r="AG22" s="1128"/>
      <c r="AH22" s="1128"/>
      <c r="AI22" s="1128"/>
      <c r="AJ22" s="1128"/>
      <c r="AK22" s="1128"/>
      <c r="AL22" s="1129"/>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14"/>
      <c r="C23" s="1115"/>
      <c r="D23" s="1115"/>
      <c r="E23" s="1115"/>
      <c r="F23" s="1115"/>
      <c r="G23" s="1113"/>
      <c r="H23" s="1113"/>
      <c r="I23" s="1113"/>
      <c r="J23" s="1113"/>
      <c r="K23" s="1113"/>
      <c r="L23" s="1113"/>
      <c r="M23" s="1113"/>
      <c r="N23" s="1113"/>
      <c r="O23" s="1113"/>
      <c r="P23" s="1113"/>
      <c r="Q23" s="1113"/>
      <c r="R23" s="1113"/>
      <c r="S23" s="1113"/>
      <c r="T23" s="1113"/>
      <c r="U23" s="691"/>
      <c r="AA23" s="692" t="s">
        <v>1010</v>
      </c>
      <c r="AB23" s="1171"/>
      <c r="AC23" s="1172"/>
      <c r="AD23" s="1172"/>
      <c r="AE23" s="1172"/>
      <c r="AF23" s="1173"/>
      <c r="AG23" s="1174"/>
      <c r="AH23" s="1174"/>
      <c r="AI23" s="1174"/>
      <c r="AJ23" s="1174"/>
      <c r="AK23" s="1174"/>
      <c r="AL23" s="1174"/>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14" t="s">
        <v>944</v>
      </c>
      <c r="C24" s="1115"/>
      <c r="D24" s="1115"/>
      <c r="E24" s="1115"/>
      <c r="F24" s="1115"/>
      <c r="G24" s="1113" t="s">
        <v>945</v>
      </c>
      <c r="H24" s="1113"/>
      <c r="I24" s="1113"/>
      <c r="J24" s="1113"/>
      <c r="K24" s="1113"/>
      <c r="L24" s="1113"/>
      <c r="M24" s="1113"/>
      <c r="N24" s="1113"/>
      <c r="O24" s="1113"/>
      <c r="P24" s="1113"/>
      <c r="Q24" s="1113"/>
      <c r="R24" s="1113"/>
      <c r="S24" s="1113"/>
      <c r="T24" s="1113"/>
      <c r="U24" s="691"/>
      <c r="AA24" s="692" t="s">
        <v>1002</v>
      </c>
      <c r="AB24" s="1175"/>
      <c r="AC24" s="1176"/>
      <c r="AD24" s="1176"/>
      <c r="AE24" s="1176"/>
      <c r="AF24" s="1177"/>
      <c r="AG24" s="1178"/>
      <c r="AH24" s="1179"/>
      <c r="AI24" s="1179"/>
      <c r="AJ24" s="1179"/>
      <c r="AK24" s="1179"/>
      <c r="AL24" s="1179"/>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14"/>
      <c r="C25" s="1115"/>
      <c r="D25" s="1115"/>
      <c r="E25" s="1115"/>
      <c r="F25" s="1115"/>
      <c r="G25" s="1113"/>
      <c r="H25" s="1113"/>
      <c r="I25" s="1113"/>
      <c r="J25" s="1113"/>
      <c r="K25" s="1113"/>
      <c r="L25" s="1113"/>
      <c r="M25" s="1113"/>
      <c r="N25" s="1113"/>
      <c r="O25" s="1113"/>
      <c r="P25" s="1113"/>
      <c r="Q25" s="1113"/>
      <c r="R25" s="1113"/>
      <c r="S25" s="1113"/>
      <c r="T25" s="1113"/>
      <c r="U25" s="691"/>
      <c r="V25" s="691"/>
      <c r="W25" s="691"/>
      <c r="X25" s="691"/>
      <c r="Y25" s="691"/>
      <c r="Z25" s="691"/>
      <c r="AA25" s="692" t="s">
        <v>999</v>
      </c>
      <c r="AB25" s="1175"/>
      <c r="AC25" s="1176"/>
      <c r="AD25" s="1176"/>
      <c r="AE25" s="1176"/>
      <c r="AF25" s="1176"/>
      <c r="AG25" s="1176"/>
      <c r="AH25" s="1176"/>
      <c r="AI25" s="1176"/>
      <c r="AJ25" s="1176"/>
      <c r="AK25" s="1176"/>
      <c r="AL25" s="1182"/>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14"/>
      <c r="C26" s="1115"/>
      <c r="D26" s="1115"/>
      <c r="E26" s="1115"/>
      <c r="F26" s="1115"/>
      <c r="G26" s="1113"/>
      <c r="H26" s="1113"/>
      <c r="I26" s="1113"/>
      <c r="J26" s="1113"/>
      <c r="K26" s="1113"/>
      <c r="L26" s="1113"/>
      <c r="M26" s="1113"/>
      <c r="N26" s="1113"/>
      <c r="O26" s="1113"/>
      <c r="P26" s="1113"/>
      <c r="Q26" s="1113"/>
      <c r="R26" s="1113"/>
      <c r="S26" s="1113"/>
      <c r="T26" s="1113"/>
      <c r="U26" s="691"/>
      <c r="V26" s="691"/>
      <c r="W26" s="691"/>
      <c r="X26" s="691"/>
      <c r="Y26" s="691"/>
      <c r="Z26" s="691"/>
      <c r="AA26" s="699" t="s">
        <v>996</v>
      </c>
      <c r="AB26" s="1175"/>
      <c r="AC26" s="1176"/>
      <c r="AD26" s="1176"/>
      <c r="AE26" s="1176"/>
      <c r="AF26" s="1176"/>
      <c r="AG26" s="1176"/>
      <c r="AH26" s="1176"/>
      <c r="AI26" s="1176"/>
      <c r="AJ26" s="1176"/>
      <c r="AK26" s="1176"/>
      <c r="AL26" s="1182"/>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14" t="s">
        <v>783</v>
      </c>
      <c r="C27" s="1115"/>
      <c r="D27" s="1115"/>
      <c r="E27" s="1115"/>
      <c r="F27" s="1115"/>
      <c r="G27" s="1113" t="s">
        <v>992</v>
      </c>
      <c r="H27" s="1113"/>
      <c r="I27" s="1113"/>
      <c r="J27" s="1113"/>
      <c r="K27" s="1113"/>
      <c r="L27" s="1113"/>
      <c r="M27" s="1113"/>
      <c r="N27" s="1113"/>
      <c r="O27" s="1113"/>
      <c r="P27" s="1113"/>
      <c r="Q27" s="1113"/>
      <c r="R27" s="1113"/>
      <c r="S27" s="1113"/>
      <c r="T27" s="1113"/>
      <c r="U27" s="691"/>
      <c r="AA27" s="699" t="s">
        <v>997</v>
      </c>
      <c r="AB27" s="1175"/>
      <c r="AC27" s="1176"/>
      <c r="AD27" s="1176"/>
      <c r="AE27" s="1176"/>
      <c r="AF27" s="1176"/>
      <c r="AG27" s="1176"/>
      <c r="AH27" s="1176"/>
      <c r="AI27" s="1176"/>
      <c r="AJ27" s="1176"/>
      <c r="AK27" s="1176"/>
      <c r="AL27" s="1182"/>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14"/>
      <c r="C28" s="1115"/>
      <c r="D28" s="1115"/>
      <c r="E28" s="1115"/>
      <c r="F28" s="1115"/>
      <c r="G28" s="1113"/>
      <c r="H28" s="1113"/>
      <c r="I28" s="1113"/>
      <c r="J28" s="1113"/>
      <c r="K28" s="1113"/>
      <c r="L28" s="1113"/>
      <c r="M28" s="1113"/>
      <c r="N28" s="1113"/>
      <c r="O28" s="1113"/>
      <c r="P28" s="1113"/>
      <c r="Q28" s="1113"/>
      <c r="R28" s="1113"/>
      <c r="S28" s="1113"/>
      <c r="T28" s="1113"/>
      <c r="U28" s="730"/>
      <c r="V28" s="691"/>
      <c r="W28" s="691"/>
      <c r="X28" s="691"/>
      <c r="Y28" s="691"/>
      <c r="Z28" s="691"/>
      <c r="AB28" s="689"/>
      <c r="AC28" s="689"/>
      <c r="AD28" s="689"/>
      <c r="AE28" s="689"/>
      <c r="AF28" s="689"/>
      <c r="AG28" s="689"/>
      <c r="AH28" s="692" t="s">
        <v>1000</v>
      </c>
      <c r="AI28" s="1184"/>
      <c r="AJ28" s="1185"/>
      <c r="AK28" s="1185"/>
      <c r="AL28" s="1186"/>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14"/>
      <c r="C29" s="1115"/>
      <c r="D29" s="1115"/>
      <c r="E29" s="1115"/>
      <c r="F29" s="1115"/>
      <c r="G29" s="1113"/>
      <c r="H29" s="1113"/>
      <c r="I29" s="1113"/>
      <c r="J29" s="1113"/>
      <c r="K29" s="1113"/>
      <c r="L29" s="1113"/>
      <c r="M29" s="1113"/>
      <c r="N29" s="1113"/>
      <c r="O29" s="1113"/>
      <c r="P29" s="1113"/>
      <c r="Q29" s="1113"/>
      <c r="R29" s="1113"/>
      <c r="S29" s="1113"/>
      <c r="T29" s="1113"/>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14" t="s">
        <v>946</v>
      </c>
      <c r="C30" s="1115"/>
      <c r="D30" s="1115"/>
      <c r="E30" s="1115"/>
      <c r="F30" s="1115"/>
      <c r="G30" s="1113" t="s">
        <v>947</v>
      </c>
      <c r="H30" s="1113"/>
      <c r="I30" s="1113"/>
      <c r="J30" s="1113"/>
      <c r="K30" s="1113"/>
      <c r="L30" s="1113"/>
      <c r="M30" s="1113"/>
      <c r="N30" s="1113"/>
      <c r="O30" s="1113"/>
      <c r="P30" s="1113"/>
      <c r="Q30" s="1113"/>
      <c r="R30" s="1113"/>
      <c r="S30" s="1113"/>
      <c r="T30" s="1113"/>
      <c r="U30" s="730"/>
      <c r="BB30" s="688"/>
      <c r="BC30" s="113"/>
    </row>
    <row r="31" spans="1:55" s="54" customFormat="1" ht="12.95" customHeight="1">
      <c r="A31" s="113"/>
      <c r="B31" s="1114"/>
      <c r="C31" s="1115"/>
      <c r="D31" s="1115"/>
      <c r="E31" s="1115"/>
      <c r="F31" s="1115"/>
      <c r="G31" s="1113"/>
      <c r="H31" s="1113"/>
      <c r="I31" s="1113"/>
      <c r="J31" s="1113"/>
      <c r="K31" s="1113"/>
      <c r="L31" s="1113"/>
      <c r="M31" s="1113"/>
      <c r="N31" s="1113"/>
      <c r="O31" s="1113"/>
      <c r="P31" s="1113"/>
      <c r="Q31" s="1113"/>
      <c r="R31" s="1113"/>
      <c r="S31" s="1113"/>
      <c r="T31" s="1113"/>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14"/>
      <c r="C32" s="1115"/>
      <c r="D32" s="1115"/>
      <c r="E32" s="1115"/>
      <c r="F32" s="1115"/>
      <c r="G32" s="1113"/>
      <c r="H32" s="1113"/>
      <c r="I32" s="1113"/>
      <c r="J32" s="1113"/>
      <c r="K32" s="1113"/>
      <c r="L32" s="1113"/>
      <c r="M32" s="1113"/>
      <c r="N32" s="1113"/>
      <c r="O32" s="1113"/>
      <c r="P32" s="1113"/>
      <c r="Q32" s="1113"/>
      <c r="R32" s="1113"/>
      <c r="S32" s="1113"/>
      <c r="T32" s="1113"/>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14" t="s">
        <v>948</v>
      </c>
      <c r="C33" s="1115"/>
      <c r="D33" s="1115"/>
      <c r="E33" s="1115"/>
      <c r="F33" s="1115"/>
      <c r="G33" s="1113" t="s">
        <v>975</v>
      </c>
      <c r="H33" s="1113"/>
      <c r="I33" s="1113"/>
      <c r="J33" s="1113"/>
      <c r="K33" s="1113"/>
      <c r="L33" s="1113"/>
      <c r="M33" s="1113"/>
      <c r="N33" s="1113"/>
      <c r="O33" s="1113"/>
      <c r="P33" s="1113"/>
      <c r="Q33" s="1113"/>
      <c r="R33" s="1113"/>
      <c r="S33" s="1113"/>
      <c r="T33" s="1113"/>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14"/>
      <c r="C34" s="1115"/>
      <c r="D34" s="1115"/>
      <c r="E34" s="1115"/>
      <c r="F34" s="1115"/>
      <c r="G34" s="1113"/>
      <c r="H34" s="1113"/>
      <c r="I34" s="1113"/>
      <c r="J34" s="1113"/>
      <c r="K34" s="1113"/>
      <c r="L34" s="1113"/>
      <c r="M34" s="1113"/>
      <c r="N34" s="1113"/>
      <c r="O34" s="1113"/>
      <c r="P34" s="1113"/>
      <c r="Q34" s="1113"/>
      <c r="R34" s="1113"/>
      <c r="S34" s="1113"/>
      <c r="T34" s="1113"/>
      <c r="U34" s="738"/>
      <c r="V34" s="730"/>
      <c r="X34" s="757"/>
      <c r="Y34" s="757"/>
      <c r="AA34" s="1062" t="s">
        <v>930</v>
      </c>
      <c r="AB34" s="1155" t="s">
        <v>667</v>
      </c>
      <c r="AC34" s="1155"/>
      <c r="AD34" s="1155"/>
      <c r="AE34" s="1155"/>
      <c r="AF34" s="717"/>
      <c r="AG34" s="717"/>
      <c r="AH34" s="717"/>
      <c r="AI34" s="717"/>
      <c r="AJ34" s="727"/>
      <c r="AK34" s="727"/>
      <c r="AM34" s="757"/>
      <c r="AN34" s="757"/>
      <c r="AO34" s="757"/>
      <c r="AR34" s="1062" t="s">
        <v>930</v>
      </c>
      <c r="AS34" s="1155" t="s">
        <v>673</v>
      </c>
      <c r="AT34" s="1155"/>
      <c r="AU34" s="1155"/>
      <c r="AV34" s="1155"/>
      <c r="AW34" s="1155"/>
      <c r="AX34" s="1155"/>
      <c r="AY34" s="1155"/>
      <c r="AZ34" s="1155"/>
      <c r="BA34" s="728"/>
      <c r="BB34" s="688"/>
      <c r="BC34" s="113"/>
    </row>
    <row r="35" spans="1:55" s="54" customFormat="1" ht="12.95" customHeight="1">
      <c r="A35" s="113"/>
      <c r="B35" s="1114"/>
      <c r="C35" s="1115"/>
      <c r="D35" s="1115"/>
      <c r="E35" s="1115"/>
      <c r="F35" s="1115"/>
      <c r="G35" s="1113"/>
      <c r="H35" s="1113"/>
      <c r="I35" s="1113"/>
      <c r="J35" s="1113"/>
      <c r="K35" s="1113"/>
      <c r="L35" s="1113"/>
      <c r="M35" s="1113"/>
      <c r="N35" s="1113"/>
      <c r="O35" s="1113"/>
      <c r="P35" s="1113"/>
      <c r="Q35" s="1113"/>
      <c r="R35" s="1113"/>
      <c r="S35" s="1113"/>
      <c r="T35" s="1113"/>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14" t="s">
        <v>949</v>
      </c>
      <c r="C36" s="1115"/>
      <c r="D36" s="1115"/>
      <c r="E36" s="1115"/>
      <c r="F36" s="1115"/>
      <c r="G36" s="1113" t="s">
        <v>950</v>
      </c>
      <c r="H36" s="1113"/>
      <c r="I36" s="1113"/>
      <c r="J36" s="1113"/>
      <c r="K36" s="1113"/>
      <c r="L36" s="1113"/>
      <c r="M36" s="1113"/>
      <c r="N36" s="1113"/>
      <c r="O36" s="1113"/>
      <c r="P36" s="1113"/>
      <c r="Q36" s="1113"/>
      <c r="R36" s="1113"/>
      <c r="S36" s="1113"/>
      <c r="T36" s="1113"/>
      <c r="U36" s="738"/>
      <c r="V36" s="1160" t="s">
        <v>991</v>
      </c>
      <c r="W36" s="1160"/>
      <c r="X36" s="1160"/>
      <c r="Y36" s="1160"/>
      <c r="Z36" s="1160"/>
      <c r="AA36" s="1160"/>
      <c r="AB36" s="1160"/>
      <c r="AC36" s="1160"/>
      <c r="AD36" s="1160"/>
      <c r="AE36" s="1160"/>
      <c r="AF36" s="1160"/>
      <c r="AG36" s="753"/>
      <c r="AH36" s="1183" t="s">
        <v>1245</v>
      </c>
      <c r="AI36" s="1183"/>
      <c r="AJ36" s="1183"/>
      <c r="AK36" s="1183"/>
      <c r="AL36" s="1183"/>
      <c r="AM36" s="1183"/>
      <c r="AN36" s="1183"/>
      <c r="AO36" s="1183"/>
      <c r="AP36" s="1183"/>
      <c r="AQ36" s="1183"/>
      <c r="AR36" s="1183"/>
      <c r="AS36" s="1183"/>
      <c r="AT36" s="1183"/>
      <c r="AU36" s="1183"/>
      <c r="AV36" s="1183"/>
      <c r="AW36" s="1183"/>
      <c r="AX36" s="1183"/>
      <c r="AY36" s="1183"/>
      <c r="AZ36" s="1183"/>
      <c r="BA36" s="1183"/>
      <c r="BB36" s="688"/>
      <c r="BC36" s="113"/>
    </row>
    <row r="37" spans="1:55" s="54" customFormat="1" ht="12.95" customHeight="1">
      <c r="A37" s="113"/>
      <c r="B37" s="1114"/>
      <c r="C37" s="1115"/>
      <c r="D37" s="1115"/>
      <c r="E37" s="1115"/>
      <c r="F37" s="1115"/>
      <c r="G37" s="1113"/>
      <c r="H37" s="1113"/>
      <c r="I37" s="1113"/>
      <c r="J37" s="1113"/>
      <c r="K37" s="1113"/>
      <c r="L37" s="1113"/>
      <c r="M37" s="1113"/>
      <c r="N37" s="1113"/>
      <c r="O37" s="1113"/>
      <c r="P37" s="1113"/>
      <c r="Q37" s="1113"/>
      <c r="R37" s="1113"/>
      <c r="S37" s="1113"/>
      <c r="T37" s="1113"/>
      <c r="U37" s="738"/>
      <c r="V37" s="1160" t="s">
        <v>973</v>
      </c>
      <c r="W37" s="1160"/>
      <c r="X37" s="1160"/>
      <c r="Y37" s="1160"/>
      <c r="Z37" s="1160"/>
      <c r="AA37" s="1160"/>
      <c r="AB37" s="1160"/>
      <c r="AC37" s="1160"/>
      <c r="AD37" s="1160"/>
      <c r="AE37" s="1160"/>
      <c r="AF37" s="1160"/>
      <c r="AG37" s="753"/>
      <c r="AH37" s="1183"/>
      <c r="AI37" s="1183"/>
      <c r="AJ37" s="1183"/>
      <c r="AK37" s="1183"/>
      <c r="AL37" s="1183"/>
      <c r="AM37" s="1183"/>
      <c r="AN37" s="1183"/>
      <c r="AO37" s="1183"/>
      <c r="AP37" s="1183"/>
      <c r="AQ37" s="1183"/>
      <c r="AR37" s="1183"/>
      <c r="AS37" s="1183"/>
      <c r="AT37" s="1183"/>
      <c r="AU37" s="1183"/>
      <c r="AV37" s="1183"/>
      <c r="AW37" s="1183"/>
      <c r="AX37" s="1183"/>
      <c r="AY37" s="1183"/>
      <c r="AZ37" s="1183"/>
      <c r="BA37" s="1183"/>
      <c r="BB37" s="688"/>
      <c r="BC37" s="113"/>
    </row>
    <row r="38" spans="1:55" s="54" customFormat="1" ht="12.95" customHeight="1">
      <c r="A38" s="113"/>
      <c r="B38" s="1114"/>
      <c r="C38" s="1115"/>
      <c r="D38" s="1115"/>
      <c r="E38" s="1115"/>
      <c r="F38" s="1115"/>
      <c r="G38" s="1113"/>
      <c r="H38" s="1113"/>
      <c r="I38" s="1113"/>
      <c r="J38" s="1113"/>
      <c r="K38" s="1113"/>
      <c r="L38" s="1113"/>
      <c r="M38" s="1113"/>
      <c r="N38" s="1113"/>
      <c r="O38" s="1113"/>
      <c r="P38" s="1113"/>
      <c r="Q38" s="1113"/>
      <c r="R38" s="1113"/>
      <c r="S38" s="1113"/>
      <c r="T38" s="1113"/>
      <c r="U38" s="738"/>
      <c r="V38" s="737"/>
      <c r="W38" s="737"/>
      <c r="X38" s="1161" t="s">
        <v>1016</v>
      </c>
      <c r="Y38" s="1161"/>
      <c r="Z38" s="1161"/>
      <c r="AA38" s="1161"/>
      <c r="AB38" s="1161"/>
      <c r="AC38" s="1161"/>
      <c r="AD38" s="1161"/>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14" t="s">
        <v>951</v>
      </c>
      <c r="C39" s="1115"/>
      <c r="D39" s="1115"/>
      <c r="E39" s="1115"/>
      <c r="F39" s="1115"/>
      <c r="G39" s="1113" t="s">
        <v>952</v>
      </c>
      <c r="H39" s="1113"/>
      <c r="I39" s="1113"/>
      <c r="J39" s="1113"/>
      <c r="K39" s="1113"/>
      <c r="L39" s="1113"/>
      <c r="M39" s="1113"/>
      <c r="N39" s="1113"/>
      <c r="O39" s="1113"/>
      <c r="P39" s="1113"/>
      <c r="Q39" s="1113"/>
      <c r="R39" s="1113"/>
      <c r="S39" s="1113"/>
      <c r="T39" s="1113"/>
      <c r="U39" s="738"/>
      <c r="V39" s="737"/>
      <c r="W39" s="1162">
        <v>0.01</v>
      </c>
      <c r="X39" s="1162"/>
      <c r="Y39" s="1162"/>
      <c r="Z39" s="1163" t="s">
        <v>787</v>
      </c>
      <c r="AA39" s="1164"/>
      <c r="AB39" s="1165"/>
      <c r="AC39" s="735" t="s">
        <v>878</v>
      </c>
      <c r="AD39" s="737"/>
      <c r="AE39" s="737"/>
      <c r="AF39" s="737"/>
      <c r="AG39" s="737"/>
      <c r="AH39" s="737"/>
      <c r="AI39" s="737"/>
      <c r="AJ39" s="737"/>
      <c r="AK39" s="737"/>
      <c r="AL39" s="736"/>
      <c r="AM39" s="727"/>
      <c r="AN39" s="739"/>
      <c r="AO39" s="1156"/>
      <c r="AP39" s="1156"/>
      <c r="AQ39" s="1156"/>
      <c r="AR39" s="1156"/>
      <c r="AS39" s="1156"/>
      <c r="AT39" s="1156"/>
      <c r="AU39" s="1156"/>
      <c r="AV39" s="1156"/>
      <c r="AW39" s="1156"/>
      <c r="AX39" s="737"/>
      <c r="AY39" s="737"/>
      <c r="AZ39" s="741"/>
      <c r="BA39" s="728"/>
      <c r="BB39" s="688"/>
      <c r="BC39" s="113"/>
    </row>
    <row r="40" spans="1:55" s="54" customFormat="1" ht="12.95" customHeight="1">
      <c r="A40" s="113"/>
      <c r="B40" s="1114"/>
      <c r="C40" s="1115"/>
      <c r="D40" s="1115"/>
      <c r="E40" s="1115"/>
      <c r="F40" s="1115"/>
      <c r="G40" s="1113"/>
      <c r="H40" s="1113"/>
      <c r="I40" s="1113"/>
      <c r="J40" s="1113"/>
      <c r="K40" s="1113"/>
      <c r="L40" s="1113"/>
      <c r="M40" s="1113"/>
      <c r="N40" s="1113"/>
      <c r="O40" s="1113"/>
      <c r="P40" s="1113"/>
      <c r="Q40" s="1113"/>
      <c r="R40" s="1113"/>
      <c r="S40" s="1113"/>
      <c r="T40" s="1113"/>
      <c r="U40" s="738"/>
      <c r="V40" s="737"/>
      <c r="W40" s="737"/>
      <c r="X40" s="737"/>
      <c r="Y40" s="737"/>
      <c r="Z40" s="1163" t="s">
        <v>788</v>
      </c>
      <c r="AA40" s="1164"/>
      <c r="AB40" s="1165"/>
      <c r="AC40" s="1180" t="s">
        <v>941</v>
      </c>
      <c r="AD40" s="1181"/>
      <c r="AE40" s="1181"/>
      <c r="AF40" s="737"/>
      <c r="AG40" s="737"/>
      <c r="AH40" s="737"/>
      <c r="AI40" s="737"/>
      <c r="AJ40" s="737"/>
      <c r="AK40" s="737"/>
      <c r="AL40" s="736"/>
      <c r="AM40" s="727"/>
      <c r="AN40" s="743"/>
      <c r="AO40" s="1156"/>
      <c r="AP40" s="1156"/>
      <c r="AQ40" s="1156"/>
      <c r="AR40" s="1156"/>
      <c r="AS40" s="1156"/>
      <c r="AT40" s="1156"/>
      <c r="AU40" s="1156"/>
      <c r="AV40" s="1156"/>
      <c r="AW40" s="1156"/>
      <c r="AX40" s="737"/>
      <c r="AY40" s="737"/>
      <c r="AZ40" s="741"/>
      <c r="BA40" s="728"/>
      <c r="BB40" s="688"/>
      <c r="BC40" s="113"/>
    </row>
    <row r="41" spans="1:55" s="54" customFormat="1" ht="12.95" customHeight="1">
      <c r="A41" s="113"/>
      <c r="B41" s="1114"/>
      <c r="C41" s="1115"/>
      <c r="D41" s="1115"/>
      <c r="E41" s="1115"/>
      <c r="F41" s="1115"/>
      <c r="G41" s="1113"/>
      <c r="H41" s="1113"/>
      <c r="I41" s="1113"/>
      <c r="J41" s="1113"/>
      <c r="K41" s="1113"/>
      <c r="L41" s="1113"/>
      <c r="M41" s="1113"/>
      <c r="N41" s="1113"/>
      <c r="O41" s="1113"/>
      <c r="P41" s="1113"/>
      <c r="Q41" s="1113"/>
      <c r="R41" s="1113"/>
      <c r="S41" s="1113"/>
      <c r="T41" s="1113"/>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60" t="s">
        <v>990</v>
      </c>
      <c r="W42" s="1160"/>
      <c r="X42" s="1160"/>
      <c r="Y42" s="1160"/>
      <c r="Z42" s="1160"/>
      <c r="AA42" s="1160"/>
      <c r="AB42" s="1160"/>
      <c r="AC42" s="1160"/>
      <c r="AD42" s="1160"/>
      <c r="AE42" s="1160"/>
      <c r="AF42" s="1160"/>
      <c r="AG42" s="737"/>
      <c r="AH42" s="1156" t="s">
        <v>1244</v>
      </c>
      <c r="AI42" s="1156"/>
      <c r="AJ42" s="1156"/>
      <c r="AK42" s="1156"/>
      <c r="AL42" s="1156"/>
      <c r="AM42" s="1156"/>
      <c r="AN42" s="1156"/>
      <c r="AO42" s="1156"/>
      <c r="AP42" s="1156"/>
      <c r="AQ42" s="1156"/>
      <c r="AR42" s="1156"/>
      <c r="AS42" s="1156"/>
      <c r="AT42" s="1156"/>
      <c r="AU42" s="1156"/>
      <c r="AV42" s="1156"/>
      <c r="AW42" s="1156"/>
      <c r="BB42" s="688"/>
      <c r="BC42" s="113"/>
    </row>
    <row r="43" spans="1:55" s="54" customFormat="1" ht="12.95" customHeight="1">
      <c r="A43" s="113"/>
      <c r="B43" s="700"/>
      <c r="U43" s="738"/>
      <c r="V43" s="1160" t="s">
        <v>943</v>
      </c>
      <c r="W43" s="1160"/>
      <c r="X43" s="1160"/>
      <c r="Y43" s="1160"/>
      <c r="Z43" s="1160"/>
      <c r="AA43" s="1160"/>
      <c r="AB43" s="1160"/>
      <c r="AC43" s="1160"/>
      <c r="AD43" s="1160"/>
      <c r="AE43" s="1160"/>
      <c r="AF43" s="1160"/>
      <c r="AG43" s="753"/>
      <c r="AH43" s="1156"/>
      <c r="AI43" s="1156"/>
      <c r="AJ43" s="1156"/>
      <c r="AK43" s="1156"/>
      <c r="AL43" s="1156"/>
      <c r="AM43" s="1156"/>
      <c r="AN43" s="1156"/>
      <c r="AO43" s="1156"/>
      <c r="AP43" s="1156"/>
      <c r="AQ43" s="1156"/>
      <c r="AR43" s="1156"/>
      <c r="AS43" s="1156"/>
      <c r="AT43" s="1156"/>
      <c r="AU43" s="1156"/>
      <c r="AV43" s="1156"/>
      <c r="AW43" s="1156"/>
      <c r="AX43" s="1157"/>
      <c r="AY43" s="1158"/>
      <c r="AZ43" s="1159"/>
      <c r="BA43" s="728"/>
      <c r="BB43" s="688"/>
      <c r="BC43" s="113"/>
    </row>
    <row r="44" spans="1:55" s="54" customFormat="1" ht="12.95" customHeight="1">
      <c r="A44" s="113"/>
      <c r="B44" s="700"/>
      <c r="C44" s="920" t="s">
        <v>1078</v>
      </c>
      <c r="D44" s="731"/>
      <c r="E44" s="731"/>
      <c r="U44" s="738"/>
      <c r="V44" s="737"/>
      <c r="W44" s="737"/>
      <c r="X44" s="1161" t="s">
        <v>1016</v>
      </c>
      <c r="Y44" s="1161"/>
      <c r="Z44" s="1161"/>
      <c r="AA44" s="1161"/>
      <c r="AB44" s="1161"/>
      <c r="AC44" s="1161"/>
      <c r="AD44" s="1161"/>
      <c r="AE44" s="737"/>
      <c r="AF44" s="737"/>
      <c r="AG44" s="753"/>
      <c r="AH44" s="1156"/>
      <c r="AI44" s="1156"/>
      <c r="AJ44" s="1156"/>
      <c r="AK44" s="1156"/>
      <c r="AL44" s="1156"/>
      <c r="AM44" s="1156"/>
      <c r="AN44" s="1156"/>
      <c r="AO44" s="1156"/>
      <c r="AP44" s="1156"/>
      <c r="AQ44" s="1156"/>
      <c r="AR44" s="1156"/>
      <c r="AS44" s="1156"/>
      <c r="AT44" s="1156"/>
      <c r="AU44" s="1156"/>
      <c r="AV44" s="1156"/>
      <c r="AW44" s="1156"/>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68">
        <v>2.5000000000000001E-3</v>
      </c>
      <c r="X45" s="1169"/>
      <c r="Y45" s="1170"/>
      <c r="Z45" s="1164" t="s">
        <v>786</v>
      </c>
      <c r="AA45" s="1164"/>
      <c r="AB45" s="1165"/>
      <c r="AC45" s="735" t="s">
        <v>878</v>
      </c>
      <c r="AD45" s="737"/>
      <c r="AE45" s="737"/>
      <c r="AF45" s="737"/>
      <c r="AG45" s="753"/>
      <c r="AH45" s="753"/>
      <c r="AI45" s="1167" t="s">
        <v>1243</v>
      </c>
      <c r="AJ45" s="1167"/>
      <c r="AK45" s="1167"/>
      <c r="AL45" s="1167"/>
      <c r="AM45" s="1167"/>
      <c r="AN45" s="1167"/>
      <c r="AO45" s="1167"/>
      <c r="AP45" s="1167"/>
      <c r="AQ45" s="1167"/>
      <c r="AR45" s="1167"/>
      <c r="AS45" s="1167"/>
      <c r="AT45" s="1167"/>
      <c r="AU45" s="1167"/>
      <c r="AV45" s="1167"/>
      <c r="AW45" s="1167"/>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63" t="s">
        <v>835</v>
      </c>
      <c r="AA46" s="1164"/>
      <c r="AB46" s="1165"/>
      <c r="AC46" s="1180" t="s">
        <v>1017</v>
      </c>
      <c r="AD46" s="1181"/>
      <c r="AE46" s="1181"/>
      <c r="AF46" s="737"/>
      <c r="AG46" s="737"/>
      <c r="AH46" s="737"/>
      <c r="AI46" s="1167"/>
      <c r="AJ46" s="1167"/>
      <c r="AK46" s="1167"/>
      <c r="AL46" s="1167"/>
      <c r="AM46" s="1167"/>
      <c r="AN46" s="1167"/>
      <c r="AO46" s="1167"/>
      <c r="AP46" s="1167"/>
      <c r="AQ46" s="1167"/>
      <c r="AR46" s="1167"/>
      <c r="AS46" s="1167"/>
      <c r="AT46" s="1167"/>
      <c r="AU46" s="1167"/>
      <c r="AV46" s="1167"/>
      <c r="AW46" s="1167"/>
      <c r="AX46" s="1166">
        <v>7</v>
      </c>
      <c r="AY46" s="1166"/>
      <c r="AZ46" s="1166"/>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67"/>
      <c r="AJ47" s="1167"/>
      <c r="AK47" s="1167"/>
      <c r="AL47" s="1167"/>
      <c r="AM47" s="1167"/>
      <c r="AN47" s="1167"/>
      <c r="AO47" s="1167"/>
      <c r="AP47" s="1167"/>
      <c r="AQ47" s="1167"/>
      <c r="AR47" s="1167"/>
      <c r="AS47" s="1167"/>
      <c r="AT47" s="1167"/>
      <c r="AU47" s="1167"/>
      <c r="AV47" s="1167"/>
      <c r="AW47" s="1167"/>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56" t="s">
        <v>1254</v>
      </c>
      <c r="AE48" s="1156"/>
      <c r="AF48" s="1156"/>
      <c r="AG48" s="1156"/>
      <c r="AH48" s="1156"/>
      <c r="AI48" s="1156"/>
      <c r="AJ48" s="1156"/>
      <c r="AK48" s="1156"/>
      <c r="AL48" s="1156"/>
      <c r="AM48" s="1156"/>
      <c r="AN48" s="1156"/>
      <c r="AO48" s="1156"/>
      <c r="AP48" s="1156"/>
      <c r="AQ48" s="1156"/>
      <c r="AR48" s="1156"/>
      <c r="AS48" s="1156"/>
      <c r="AT48" s="1156"/>
      <c r="AU48" s="1156"/>
      <c r="AV48" s="1156"/>
      <c r="AW48" s="1156"/>
      <c r="AX48" s="1160" t="s">
        <v>934</v>
      </c>
      <c r="AY48" s="1160"/>
      <c r="AZ48" s="1160"/>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56"/>
      <c r="AE49" s="1156"/>
      <c r="AF49" s="1156"/>
      <c r="AG49" s="1156"/>
      <c r="AH49" s="1156"/>
      <c r="AI49" s="1156"/>
      <c r="AJ49" s="1156"/>
      <c r="AK49" s="1156"/>
      <c r="AL49" s="1156"/>
      <c r="AM49" s="1156"/>
      <c r="AN49" s="1156"/>
      <c r="AO49" s="1156"/>
      <c r="AP49" s="1156"/>
      <c r="AQ49" s="1156"/>
      <c r="AR49" s="1156"/>
      <c r="AS49" s="1156"/>
      <c r="AT49" s="1156"/>
      <c r="AU49" s="1156"/>
      <c r="AV49" s="1156"/>
      <c r="AW49" s="1156"/>
      <c r="AX49" s="1160"/>
      <c r="AY49" s="1160"/>
      <c r="AZ49" s="1160"/>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56"/>
      <c r="AE50" s="1156"/>
      <c r="AF50" s="1156"/>
      <c r="AG50" s="1156"/>
      <c r="AH50" s="1156"/>
      <c r="AI50" s="1156"/>
      <c r="AJ50" s="1156"/>
      <c r="AK50" s="1156"/>
      <c r="AL50" s="1156"/>
      <c r="AM50" s="1156"/>
      <c r="AN50" s="1156"/>
      <c r="AO50" s="1156"/>
      <c r="AP50" s="1156"/>
      <c r="AQ50" s="1156"/>
      <c r="AR50" s="1156"/>
      <c r="AS50" s="1156"/>
      <c r="AT50" s="1156"/>
      <c r="AU50" s="1156"/>
      <c r="AV50" s="1156"/>
      <c r="AW50" s="1156"/>
      <c r="AX50" s="1160"/>
      <c r="AY50" s="1160"/>
      <c r="AZ50" s="1160"/>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56"/>
      <c r="AE51" s="1156"/>
      <c r="AF51" s="1156"/>
      <c r="AG51" s="1156"/>
      <c r="AH51" s="1156"/>
      <c r="AI51" s="1156"/>
      <c r="AJ51" s="1156"/>
      <c r="AK51" s="1156"/>
      <c r="AL51" s="1156"/>
      <c r="AM51" s="1156"/>
      <c r="AN51" s="1156"/>
      <c r="AO51" s="1156"/>
      <c r="AP51" s="1156"/>
      <c r="AQ51" s="1156"/>
      <c r="AR51" s="1156"/>
      <c r="AS51" s="1156"/>
      <c r="AT51" s="1156"/>
      <c r="AU51" s="1156"/>
      <c r="AV51" s="1156"/>
      <c r="AW51" s="1156"/>
      <c r="AX51" s="1160"/>
      <c r="AY51" s="1160"/>
      <c r="AZ51" s="1160"/>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56"/>
      <c r="AE52" s="1156"/>
      <c r="AF52" s="1156"/>
      <c r="AG52" s="1156"/>
      <c r="AH52" s="1156"/>
      <c r="AI52" s="1156"/>
      <c r="AJ52" s="1156"/>
      <c r="AK52" s="1156"/>
      <c r="AL52" s="1156"/>
      <c r="AM52" s="1156"/>
      <c r="AN52" s="1156"/>
      <c r="AO52" s="1156"/>
      <c r="AP52" s="1156"/>
      <c r="AQ52" s="1156"/>
      <c r="AR52" s="1156"/>
      <c r="AS52" s="1156"/>
      <c r="AT52" s="1156"/>
      <c r="AU52" s="1156"/>
      <c r="AV52" s="1156"/>
      <c r="AW52" s="1156"/>
      <c r="AX52" s="1160"/>
      <c r="AY52" s="1160"/>
      <c r="AZ52" s="1160"/>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0" activePane="bottomLeft" state="frozen"/>
      <selection pane="bottomLeft" activeCell="B2" sqref="B2:U2"/>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188" t="s">
        <v>1192</v>
      </c>
      <c r="C2" s="1189"/>
      <c r="D2" s="1189"/>
      <c r="E2" s="1189"/>
      <c r="F2" s="1189"/>
      <c r="G2" s="1189"/>
      <c r="H2" s="1189"/>
      <c r="I2" s="1189"/>
      <c r="J2" s="1189"/>
      <c r="K2" s="1189"/>
      <c r="L2" s="1189"/>
      <c r="M2" s="1189"/>
      <c r="N2" s="1189"/>
      <c r="O2" s="1189"/>
      <c r="P2" s="1189"/>
      <c r="Q2" s="1189"/>
      <c r="R2" s="1189"/>
      <c r="S2" s="1189"/>
      <c r="T2" s="1189"/>
      <c r="U2" s="1190"/>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193" t="str">
        <f>IF(ISBLANK('Start Page'!AB9),"&lt;&lt; Please enter system details on the Start Page &gt;&gt;",'Start Page'!AB9&amp;IF(ISBLANK('Start Page'!AM28),"","  ("&amp;'Start Page'!AM28&amp;")"))</f>
        <v>&lt;&lt; Please enter system details on the Start Page &gt;&gt;</v>
      </c>
      <c r="E4" s="1194"/>
      <c r="F4" s="1194"/>
      <c r="G4" s="1194"/>
      <c r="H4" s="1195"/>
      <c r="I4" s="1195"/>
      <c r="J4" s="1195"/>
      <c r="K4" s="1195"/>
      <c r="L4" s="1195"/>
      <c r="M4" s="1195"/>
      <c r="N4" s="1195"/>
      <c r="O4" s="1195"/>
      <c r="P4" s="1196"/>
      <c r="Q4" s="59"/>
      <c r="R4" s="59"/>
      <c r="U4" s="322"/>
      <c r="V4" s="113"/>
      <c r="AB4" s="297"/>
      <c r="AC4" s="297"/>
      <c r="AD4" s="297"/>
      <c r="AE4" s="297"/>
    </row>
    <row r="5" spans="1:33" s="54" customFormat="1">
      <c r="A5" s="113"/>
      <c r="B5" s="665"/>
      <c r="C5" s="323" t="s">
        <v>714</v>
      </c>
      <c r="D5" s="1206" t="str">
        <f>IF(ISBLANK('Start Page'!AB18),"",'Start Page'!AB18)</f>
        <v/>
      </c>
      <c r="E5" s="1207"/>
      <c r="F5" s="1207"/>
      <c r="G5" s="1208"/>
      <c r="H5" s="1200" t="str">
        <f>IF(ISBLANK('Start Page'!AB20),"",TEXT('Start Page'!AB20,"mmm dd yyyy")&amp;" - "&amp;TEXT('Start Page'!AB21,"mmm dd yyyy"))</f>
        <v/>
      </c>
      <c r="I5" s="1201"/>
      <c r="J5" s="1202"/>
      <c r="K5" s="1204" t="str">
        <f>IF(ISBLANK('Start Page'!AB19),"",'Start Page'!AB19)</f>
        <v/>
      </c>
      <c r="L5" s="1201"/>
      <c r="M5" s="1201"/>
      <c r="N5" s="1201"/>
      <c r="O5" s="1201"/>
      <c r="P5" s="1205"/>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227" t="s">
        <v>1211</v>
      </c>
      <c r="R8" s="122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PLEASE CHOOSE REPORTING UNITS FROM THE START PAGE BEFORE ENTERING DATA</v>
      </c>
      <c r="I9" s="627"/>
      <c r="J9" s="627"/>
      <c r="K9" s="627"/>
      <c r="L9" s="627"/>
      <c r="M9" s="627"/>
      <c r="N9" s="627"/>
      <c r="O9" s="627"/>
      <c r="P9" s="627"/>
      <c r="Q9" s="627"/>
      <c r="R9" s="627"/>
      <c r="S9" s="627"/>
      <c r="T9" s="627"/>
      <c r="U9" s="1199"/>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199"/>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199"/>
      <c r="V11" s="113"/>
      <c r="AB11" s="297"/>
      <c r="AC11" s="297"/>
      <c r="AD11" s="297"/>
      <c r="AE11" s="297"/>
    </row>
    <row r="12" spans="1:33" s="54" customFormat="1" ht="15.6" customHeight="1" thickBot="1">
      <c r="A12" s="113"/>
      <c r="B12" s="326"/>
      <c r="C12" s="308"/>
      <c r="D12" s="308"/>
      <c r="E12" s="610"/>
      <c r="F12" s="308"/>
      <c r="G12" s="308"/>
      <c r="H12" s="308"/>
      <c r="I12" s="308"/>
      <c r="J12" s="325"/>
      <c r="K12" s="1203" t="s">
        <v>712</v>
      </c>
      <c r="L12" s="1203"/>
      <c r="M12" s="1203"/>
      <c r="N12" s="1203"/>
      <c r="O12" s="1203"/>
      <c r="P12" s="1203"/>
      <c r="Q12" s="1203"/>
      <c r="R12" s="1203"/>
      <c r="S12" s="1203"/>
      <c r="T12" s="1203"/>
      <c r="U12" s="1199"/>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199"/>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t="str">
        <f>'Interactive Data Grading'!D20</f>
        <v/>
      </c>
      <c r="G15" s="336"/>
      <c r="H15" s="631"/>
      <c r="I15" s="337"/>
      <c r="J15" s="338" t="str">
        <f>IF('Start Page'!$AB$22="million gallons (US)","MG/Yr",IF('Start Page'!$AB$22="Megalitres (thousand cubic metres)","ML/Yr",IF('Start Page'!$AB$22="acre-feet","Acre-ft/Yr","")))</f>
        <v/>
      </c>
      <c r="K15" s="986" t="s">
        <v>881</v>
      </c>
      <c r="L15" s="714" t="s">
        <v>882</v>
      </c>
      <c r="M15" s="587" t="str">
        <f>'Interactive Data Grading'!D43</f>
        <v/>
      </c>
      <c r="N15" s="338"/>
      <c r="O15" s="582"/>
      <c r="P15" s="684" t="s">
        <v>787</v>
      </c>
      <c r="Q15" s="1192"/>
      <c r="R15" s="1197"/>
      <c r="S15" s="586" t="str">
        <f>IF('Start Page'!$AB$22="million gallons (US)","MG/Yr",IF('Start Page'!$AB$22="Megalitres (thousand cubic metres)","ML/Yr",IF('Start Page'!$AB$22="acre-feet","acre-ft/yr","")))</f>
        <v/>
      </c>
      <c r="T15" s="685" t="s">
        <v>1266</v>
      </c>
      <c r="U15" s="663" t="s">
        <v>921</v>
      </c>
      <c r="V15" s="113"/>
      <c r="W15" s="579">
        <f>IF(P15="percent",1,2)</f>
        <v>1</v>
      </c>
      <c r="X15" s="129">
        <f>IF(H15&gt;0,IF(W15=1,O15*H15,Q15),0)</f>
        <v>0</v>
      </c>
      <c r="Y15" s="130" t="e">
        <f>$Y$19/$Y$18*H15</f>
        <v>#DIV/0!</v>
      </c>
      <c r="Z15" s="186" t="e">
        <f>$Y$19/$Y$18*ABS(X15)</f>
        <v>#DIV/0!</v>
      </c>
      <c r="AA15" s="1046">
        <f>IF(W15=1,input_VOS-input_VOS/(1+O15*AB15),Q15*AB15)</f>
        <v>0</v>
      </c>
      <c r="AB15" s="636">
        <f>IF(OR(T15="",T15="Select….."),0,IF(T15="Under-registration",-1,1))</f>
        <v>-1</v>
      </c>
      <c r="AC15" s="297" t="str">
        <f>IF(OR(H15&lt;=0,AND(H15&gt;0,OR(AND(W15=1,O15=0),AND(W15=2,Q15=0)))),"no","yes")</f>
        <v>no</v>
      </c>
      <c r="AD15" s="297" t="str">
        <f>IF(OR(T15="select…..",T15=""),"no","yes")</f>
        <v>yes</v>
      </c>
      <c r="AE15" s="297" t="str">
        <f>IF(AND(AC15="yes",AD15="no"),"yes","no")</f>
        <v>no</v>
      </c>
      <c r="AF15" s="638">
        <f>IF(AE15="yes",1,0)</f>
        <v>0</v>
      </c>
      <c r="AG15" s="1046">
        <f>input_VOS-AA15</f>
        <v>0</v>
      </c>
    </row>
    <row r="16" spans="1:33" s="54" customFormat="1">
      <c r="A16" s="113"/>
      <c r="B16" s="666" t="s">
        <v>908</v>
      </c>
      <c r="C16" s="1052" t="s">
        <v>40</v>
      </c>
      <c r="D16" s="983" t="s">
        <v>881</v>
      </c>
      <c r="E16" s="681" t="s">
        <v>882</v>
      </c>
      <c r="F16" s="587" t="str">
        <f>'Interactive Data Grading'!D74</f>
        <v/>
      </c>
      <c r="G16" s="336"/>
      <c r="H16" s="630"/>
      <c r="I16" s="337"/>
      <c r="J16" s="338" t="str">
        <f>IF('Start Page'!$AB$22="million gallons (US)","MG/Yr",IF('Start Page'!$AB$22="Megalitres (thousand cubic metres)","ML/Yr",IF('Start Page'!$AB$22="acre-feet","Acre-ft/Yr","")))</f>
        <v/>
      </c>
      <c r="K16" s="986" t="s">
        <v>881</v>
      </c>
      <c r="L16" s="714" t="s">
        <v>882</v>
      </c>
      <c r="M16" s="587" t="str">
        <f>'Interactive Data Grading'!D96</f>
        <v/>
      </c>
      <c r="N16" s="338"/>
      <c r="O16" s="582"/>
      <c r="P16" s="684" t="s">
        <v>787</v>
      </c>
      <c r="Q16" s="1192"/>
      <c r="R16" s="1197"/>
      <c r="S16" s="586" t="str">
        <f>IF('Start Page'!$AB$22="million gallons (US)","MG/Yr",IF('Start Page'!$AB$22="Megalitres (thousand cubic metres)","ML/Yr",IF('Start Page'!$AB$22="acre-feet","acre-ft/yr","")))</f>
        <v/>
      </c>
      <c r="T16" s="685" t="s">
        <v>1265</v>
      </c>
      <c r="U16" s="663" t="s">
        <v>922</v>
      </c>
      <c r="V16" s="113"/>
      <c r="W16" s="579">
        <f t="shared" ref="W16:W17" si="0">IF(P16="percent",1,2)</f>
        <v>1</v>
      </c>
      <c r="X16" s="129">
        <f>IF(H16&gt;0,IF(W16=1,O16*H16,Q16),0)</f>
        <v>0</v>
      </c>
      <c r="Y16" s="130" t="e">
        <f>$Y$19/$Y$18*H16</f>
        <v>#DIV/0!</v>
      </c>
      <c r="Z16" s="186" t="e">
        <f>$Y$19/$Y$18*ABS(X16)</f>
        <v>#DIV/0!</v>
      </c>
      <c r="AA16" s="1046">
        <f>IF(W16=1,input_WI-input_WI/(1+O16*AB16),Q16*AB16)</f>
        <v>0</v>
      </c>
      <c r="AB16" s="636">
        <f t="shared" ref="AB16:AB17" si="1">IF(OR(T16="",T16="Select….."),0,IF(T16="Under-registration",-1,1))</f>
        <v>0</v>
      </c>
      <c r="AC16" s="297" t="str">
        <f t="shared" ref="AC16:AC17" si="2">IF(OR(H16&lt;=0,AND(H16&gt;0,OR(AND(W16=1,O16=0),AND(W16=2,Q16=0)))),"no","yes")</f>
        <v>no</v>
      </c>
      <c r="AD16" s="297" t="str">
        <f>IF(OR(T16="select…..",T16=""),"no","yes")</f>
        <v>no</v>
      </c>
      <c r="AE16" s="297" t="str">
        <f t="shared" ref="AE16:AE17" si="3">IF(AND(AC16="yes",AD16="no"),"yes","no")</f>
        <v>no</v>
      </c>
      <c r="AF16" s="638">
        <f t="shared" ref="AF16:AF17" si="4">IF(AE16="yes",1,0)</f>
        <v>0</v>
      </c>
      <c r="AG16" s="1046">
        <f>input_WI-AA16</f>
        <v>0</v>
      </c>
    </row>
    <row r="17" spans="1:33" s="54" customFormat="1" ht="13.35" customHeight="1">
      <c r="A17" s="113"/>
      <c r="B17" s="666" t="s">
        <v>909</v>
      </c>
      <c r="C17" s="1052" t="s">
        <v>41</v>
      </c>
      <c r="D17" s="983" t="s">
        <v>881</v>
      </c>
      <c r="E17" s="681" t="s">
        <v>882</v>
      </c>
      <c r="F17" s="587" t="str">
        <f>'Interactive Data Grading'!D127</f>
        <v/>
      </c>
      <c r="G17" s="336"/>
      <c r="H17" s="396"/>
      <c r="I17" s="337"/>
      <c r="J17" s="338" t="str">
        <f>IF('Start Page'!$AB$22="million gallons (US)","MG/Yr",IF('Start Page'!$AB$22="Megalitres (thousand cubic metres)","ML/Yr",IF('Start Page'!$AB$22="acre-feet","Acre-ft/Yr","")))</f>
        <v/>
      </c>
      <c r="K17" s="986" t="s">
        <v>881</v>
      </c>
      <c r="L17" s="714" t="s">
        <v>882</v>
      </c>
      <c r="M17" s="587" t="str">
        <f>'Interactive Data Grading'!D150</f>
        <v/>
      </c>
      <c r="N17" s="338"/>
      <c r="O17" s="582"/>
      <c r="P17" s="684" t="s">
        <v>787</v>
      </c>
      <c r="Q17" s="1192"/>
      <c r="R17" s="1197"/>
      <c r="S17" s="586" t="str">
        <f>IF('Start Page'!$AB$22="million gallons (US)","MG/Yr",IF('Start Page'!$AB$22="Megalitres (thousand cubic metres)","ML/Yr",IF('Start Page'!$AB$22="acre-feet","acre-ft/yr","")))</f>
        <v/>
      </c>
      <c r="T17" s="685" t="s">
        <v>1265</v>
      </c>
      <c r="U17" s="663" t="s">
        <v>923</v>
      </c>
      <c r="V17" s="113"/>
      <c r="W17" s="579">
        <f t="shared" si="0"/>
        <v>1</v>
      </c>
      <c r="X17" s="129">
        <f>IF(H17&gt;0,IF(W17=1,O17*H17,Q17),0)</f>
        <v>0</v>
      </c>
      <c r="Y17" s="130" t="e">
        <f>$Y$19/$Y$18*H17</f>
        <v>#DIV/0!</v>
      </c>
      <c r="Z17" s="186" t="e">
        <f>$Y$19/$Y$18*ABS(X17)</f>
        <v>#DIV/0!</v>
      </c>
      <c r="AA17" s="1046">
        <f>IF(W17=1,input_WE-input_WE/(1+O17*AB17),Q17*AB17)</f>
        <v>0</v>
      </c>
      <c r="AB17" s="636">
        <f t="shared" si="1"/>
        <v>0</v>
      </c>
      <c r="AC17" s="297" t="str">
        <f t="shared" si="2"/>
        <v>no</v>
      </c>
      <c r="AD17" s="297" t="str">
        <f>IF(OR(T17="select…..",T17=""),"no","yes")</f>
        <v>no</v>
      </c>
      <c r="AE17" s="297" t="str">
        <f t="shared" si="3"/>
        <v>no</v>
      </c>
      <c r="AF17" s="638">
        <f t="shared" si="4"/>
        <v>0</v>
      </c>
      <c r="AG17" s="1046">
        <f>input_WE-AA17</f>
        <v>0</v>
      </c>
    </row>
    <row r="18" spans="1:33" s="54" customFormat="1" ht="14.45" customHeight="1">
      <c r="A18" s="113"/>
      <c r="B18" s="665"/>
      <c r="G18" s="336"/>
      <c r="H18" s="593"/>
      <c r="I18" s="337"/>
      <c r="J18" s="331"/>
      <c r="K18" s="331"/>
      <c r="L18" s="331"/>
      <c r="M18" s="312"/>
      <c r="N18" s="331"/>
      <c r="O18" s="312"/>
      <c r="P18" s="333"/>
      <c r="Q18" s="59"/>
      <c r="R18" s="59"/>
      <c r="S18" s="59"/>
      <c r="T18" s="1230" t="s">
        <v>789</v>
      </c>
      <c r="U18" s="662"/>
      <c r="V18" s="113"/>
      <c r="W18" s="183"/>
      <c r="X18" s="131"/>
      <c r="Y18" s="130">
        <f>H15+H16+H17+IF(H15&gt;0,ABS(X15),0)+IF(H16&gt;0,ABS(X16),0)+IF(H17&gt;0,(ABS(X17)),)</f>
        <v>0</v>
      </c>
      <c r="Z18" s="187"/>
      <c r="AB18" s="297"/>
      <c r="AC18" s="297"/>
      <c r="AD18" s="297"/>
      <c r="AE18" s="297"/>
      <c r="AF18" s="638">
        <f>SUM(AF15:AF17)</f>
        <v>0</v>
      </c>
      <c r="AG18" s="54" t="s">
        <v>1199</v>
      </c>
    </row>
    <row r="19" spans="1:33" s="54" customFormat="1" ht="13.5" thickBot="1">
      <c r="A19" s="113"/>
      <c r="B19" s="665"/>
      <c r="C19" s="1233" t="s">
        <v>109</v>
      </c>
      <c r="D19" s="1233"/>
      <c r="E19" s="1233"/>
      <c r="F19" s="1233"/>
      <c r="G19" s="332"/>
      <c r="H19" s="1017">
        <f>IF(AF18&gt;0,"Select under/over",IF(H15&gt;0,IF(W15=1,H15/(1+O15*AB15),H15-Q15*AB15),0)+IF(H16&gt;0,IF(W16=1,H16/(1+O16*AB16),H16-Q16*AB16),0)-IF(H17&gt;0,IF(W17=1,H17/(1+O17*AB17),H17-Q17*AB17),0))</f>
        <v>0</v>
      </c>
      <c r="I19" s="341"/>
      <c r="J19" s="338" t="str">
        <f>IF('Start Page'!$AB$22="million gallons (US)","MG/Yr",IF('Start Page'!$AB$22="Megalitres (thousand cubic metres)","ML/Yr",IF('Start Page'!$AB$22="acre-feet","Acre-ft/Yr","")))</f>
        <v/>
      </c>
      <c r="K19" s="756" t="str">
        <f>IF(H19="Select under/over","----------------&gt;----------------&gt;----------------&gt;----------------&gt;----------------&gt;","")</f>
        <v/>
      </c>
      <c r="L19" s="338"/>
      <c r="M19" s="312"/>
      <c r="N19" s="338"/>
      <c r="O19" s="397"/>
      <c r="P19" s="332"/>
      <c r="Q19" s="331"/>
      <c r="R19" s="578"/>
      <c r="S19" s="342"/>
      <c r="T19" s="1230"/>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230"/>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230"/>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230"/>
      <c r="U22" s="322"/>
      <c r="V22" s="113"/>
      <c r="AB22" s="297"/>
      <c r="AC22" s="297"/>
      <c r="AD22" s="297"/>
      <c r="AE22" s="297"/>
    </row>
    <row r="23" spans="1:33" s="54" customFormat="1">
      <c r="A23" s="113"/>
      <c r="B23" s="666" t="s">
        <v>910</v>
      </c>
      <c r="C23" s="626" t="s">
        <v>481</v>
      </c>
      <c r="D23" s="983" t="s">
        <v>881</v>
      </c>
      <c r="E23" s="681" t="s">
        <v>882</v>
      </c>
      <c r="F23" s="587" t="str">
        <f>'Interactive Data Grading'!D177</f>
        <v/>
      </c>
      <c r="G23" s="336"/>
      <c r="H23" s="396"/>
      <c r="I23" s="337"/>
      <c r="J23" s="338" t="str">
        <f>IF('Start Page'!$AB$22="million gallons (US)","MG/Yr",IF('Start Page'!$AB$22="Megalitres (thousand cubic metres)","ML/Yr",IF('Start Page'!$AB$22="acre-feet","Acre-ft/Yr","")))</f>
        <v/>
      </c>
      <c r="K23" s="338"/>
      <c r="L23" s="338"/>
      <c r="M23" s="338"/>
      <c r="N23" s="338"/>
      <c r="O23" s="342"/>
      <c r="P23" s="59"/>
      <c r="Q23" s="59"/>
      <c r="R23" s="59"/>
      <c r="S23" s="59"/>
      <c r="T23" s="1230"/>
      <c r="U23" s="322"/>
      <c r="V23" s="113"/>
      <c r="W23" s="191"/>
      <c r="X23" s="180"/>
      <c r="Y23" s="192">
        <f>IFERROR($Y$26/$Y$25*H23,7)</f>
        <v>7</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
      </c>
      <c r="G24" s="336"/>
      <c r="H24" s="396"/>
      <c r="I24" s="337"/>
      <c r="J24" s="338" t="str">
        <f>IF('Start Page'!$AB$22="million gallons (US)","MG/Yr",IF('Start Page'!$AB$22="Megalitres (thousand cubic metres)","ML/Yr",IF('Start Page'!$AB$22="acre-feet","Acre-ft/Yr","")))</f>
        <v/>
      </c>
      <c r="K24" s="338"/>
      <c r="L24" s="338"/>
      <c r="M24" s="338"/>
      <c r="N24" s="338"/>
      <c r="O24" s="342"/>
      <c r="P24" s="59"/>
      <c r="Q24" s="309"/>
      <c r="R24" s="309"/>
      <c r="S24" s="309"/>
      <c r="T24" s="309"/>
      <c r="U24" s="322"/>
      <c r="V24" s="113"/>
      <c r="W24" s="183"/>
      <c r="X24" s="58"/>
      <c r="Y24" s="130">
        <f>IFERROR($Y$26/$Y$25*H25,7)</f>
        <v>7</v>
      </c>
      <c r="Z24" s="185"/>
      <c r="AB24" s="297"/>
      <c r="AC24" s="297"/>
      <c r="AD24" s="297"/>
      <c r="AE24" s="297"/>
    </row>
    <row r="25" spans="1:33" s="54" customFormat="1" ht="13.35" customHeight="1">
      <c r="A25" s="113"/>
      <c r="B25" s="666" t="s">
        <v>919</v>
      </c>
      <c r="C25" s="626" t="s">
        <v>483</v>
      </c>
      <c r="D25" s="983" t="s">
        <v>881</v>
      </c>
      <c r="E25" s="681" t="s">
        <v>882</v>
      </c>
      <c r="F25" s="587" t="str">
        <f>'Interactive Data Grading'!D224</f>
        <v/>
      </c>
      <c r="G25" s="336"/>
      <c r="H25" s="597"/>
      <c r="I25" s="337"/>
      <c r="J25" s="338" t="str">
        <f>IF('Start Page'!$AB$22="million gallons (US)","MG/Yr",IF('Start Page'!$AB$22="Megalitres (thousand cubic metres)","ML/Yr",IF('Start Page'!$AB$22="acre-feet","Acre-ft/Yr","")))</f>
        <v/>
      </c>
      <c r="K25" s="338"/>
      <c r="L25" s="338"/>
      <c r="M25" s="338"/>
      <c r="N25" s="338"/>
      <c r="O25" s="332"/>
      <c r="P25" s="1087" t="s">
        <v>1016</v>
      </c>
      <c r="Q25" s="332"/>
      <c r="R25" s="59"/>
      <c r="S25" s="59"/>
      <c r="T25" s="59"/>
      <c r="U25" s="322"/>
      <c r="V25" s="113"/>
      <c r="W25" s="183"/>
      <c r="X25" s="58"/>
      <c r="Y25" s="194">
        <f>H23+H25</f>
        <v>0</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3</v>
      </c>
      <c r="G26" s="336"/>
      <c r="H26" s="594">
        <f>IF(OR(W26=1,AND(W26=2,Q26=0)),O26*SUM(H23:H24),Q26)</f>
        <v>0</v>
      </c>
      <c r="I26" s="337"/>
      <c r="J26" s="338" t="str">
        <f>IF('Start Page'!$AB$22="million gallons (US)","MG/Yr",IF('Start Page'!$AB$22="Megalitres (thousand cubic metres)","ML/Yr",IF('Start Page'!$AB$22="acre-feet","Acre-ft/Yr","")))</f>
        <v/>
      </c>
      <c r="K26" s="338"/>
      <c r="L26" s="338"/>
      <c r="M26" s="338"/>
      <c r="N26" s="338"/>
      <c r="O26" s="588">
        <v>2.5000000000000001E-3</v>
      </c>
      <c r="P26" s="755" t="s">
        <v>786</v>
      </c>
      <c r="Q26" s="1192"/>
      <c r="R26" s="1192"/>
      <c r="S26" s="586" t="str">
        <f>IF('Start Page'!$AB$22="million gallons (US)","MG/Yr",IF('Start Page'!$AB$22="Megalitres (thousand cubic metres)","ML/Yr",IF('Start Page'!$AB$22="acre-feet","acre-ft/yr","")))</f>
        <v/>
      </c>
      <c r="T26" s="313"/>
      <c r="U26" s="322"/>
      <c r="V26" s="113"/>
      <c r="W26" s="580">
        <f>IF(P26="default",1,2)</f>
        <v>1</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210" t="s">
        <v>108</v>
      </c>
      <c r="D30" s="1210"/>
      <c r="E30" s="1210"/>
      <c r="F30" s="1210"/>
      <c r="G30" s="332"/>
      <c r="H30" s="1017">
        <f>SUM(H23:H26)</f>
        <v>0</v>
      </c>
      <c r="I30" s="341"/>
      <c r="J30" s="338" t="str">
        <f>IF('Start Page'!$AB$22="million gallons (US)","MG/Yr",IF('Start Page'!$AB$22="Megalitres (thousand cubic metres)","ML/Yr",IF('Start Page'!$AB$22="acre-feet","Acre-ft/Yr","")))</f>
        <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198" t="str">
        <f>IF(AND(H30&gt;=H19,(H30&lt;&gt;0)),"               Check input values; WATER SUPPLIED should be greater than AUTHORIZED CONSUMPTION","")</f>
        <v/>
      </c>
      <c r="D32" s="1198"/>
      <c r="E32" s="1198"/>
      <c r="F32" s="1198"/>
      <c r="G32" s="1198"/>
      <c r="H32" s="1198"/>
      <c r="I32" s="1198"/>
      <c r="J32" s="1198"/>
      <c r="K32" s="1198"/>
      <c r="L32" s="1198"/>
      <c r="M32" s="1198"/>
      <c r="N32" s="1198"/>
      <c r="O32" s="1198"/>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0</v>
      </c>
      <c r="I35" s="59"/>
      <c r="J35" s="338" t="str">
        <f>IF('Start Page'!$AB$22="million gallons (US)","MG/Yr",IF('Start Page'!$AB$22="Megalitres (thousand cubic metres)","ML/Yr",IF('Start Page'!$AB$22="acre-feet","Acre-ft/Yr","")))</f>
        <v/>
      </c>
      <c r="K35" s="338"/>
      <c r="L35" s="338"/>
      <c r="M35" s="338"/>
      <c r="N35" s="338"/>
      <c r="O35" s="59"/>
      <c r="P35" s="1191"/>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191"/>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0</v>
      </c>
      <c r="I39" s="351"/>
      <c r="J39" s="338" t="str">
        <f>IF('Start Page'!$AB$22="million gallons (US)","MG/Yr",IF('Start Page'!$AB$22="Megalitres (thousand cubic metres)","ML/Yr",IF('Start Page'!$AB$22="acre-feet","Acre-ft/Yr","")))</f>
        <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t="str">
        <f>'Interactive Data Grading'!D300</f>
        <v/>
      </c>
      <c r="G41" s="339"/>
      <c r="H41" s="709">
        <f>IF(OR(T41="Select…..",T41=""),"Select under/over",IF(W41=1,((H23+H25)/(1-(O41*X41)))-(H23+H25),Q41*X41))</f>
        <v>0</v>
      </c>
      <c r="I41" s="351"/>
      <c r="J41" s="338" t="str">
        <f>IF('Start Page'!$AB$22="million gallons (US)","MG/Yr",IF('Start Page'!$AB$22="Megalitres (thousand cubic metres)","ML/Yr",IF('Start Page'!$AB$22="acre-feet","Acre-ft/Yr","")))</f>
        <v/>
      </c>
      <c r="K41" s="338"/>
      <c r="L41" s="338"/>
      <c r="M41" s="338"/>
      <c r="N41" s="338"/>
      <c r="O41" s="628"/>
      <c r="P41" s="686" t="s">
        <v>787</v>
      </c>
      <c r="Q41" s="1192"/>
      <c r="R41" s="1192"/>
      <c r="S41" s="586" t="str">
        <f>IF('Start Page'!$AB$22="million gallons (US)","MG/Yr",IF('Start Page'!$AB$22="Megalitres (thousand cubic metres)","ML/Yr",IF('Start Page'!$AB$22="acre-feet","acre-ft/yr","")))</f>
        <v/>
      </c>
      <c r="T41" s="715" t="s">
        <v>1266</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0</v>
      </c>
      <c r="I43" s="351"/>
      <c r="J43" s="338" t="str">
        <f>IF('Start Page'!$AB$22="million gallons (US)","MG/Yr",IF('Start Page'!$AB$22="Megalitres (thousand cubic metres)","ML/Yr",IF('Start Page'!$AB$22="acre-feet","Acre-ft/Yr","")))</f>
        <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231"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231"/>
      <c r="U45" s="322"/>
      <c r="V45" s="113"/>
      <c r="W45" s="59"/>
      <c r="X45" s="58"/>
      <c r="AB45" s="297"/>
      <c r="AC45" s="297"/>
      <c r="AD45" s="297"/>
      <c r="AE45" s="297"/>
    </row>
    <row r="46" spans="1:33" s="54" customFormat="1" ht="14.1" customHeight="1">
      <c r="A46" s="113"/>
      <c r="B46" s="666"/>
      <c r="C46" s="1209" t="s">
        <v>42</v>
      </c>
      <c r="D46" s="1209"/>
      <c r="E46" s="1209"/>
      <c r="F46" s="1209"/>
      <c r="G46" s="270"/>
      <c r="H46" s="1017">
        <f t="array" ref="H46">SUM(IF(ISNUMBER(H39:H43),H39:H43))</f>
        <v>0</v>
      </c>
      <c r="I46" s="339"/>
      <c r="J46" s="338" t="str">
        <f>IF('Start Page'!$AB$22="million gallons (US)","MG/Yr",IF('Start Page'!$AB$22="Megalitres (thousand cubic metres)","ML/Yr",IF('Start Page'!$AB$22="acre-feet","Acre-ft/Yr","")))</f>
        <v/>
      </c>
      <c r="K46" s="338"/>
      <c r="L46" s="338"/>
      <c r="M46" s="338"/>
      <c r="N46" s="338"/>
      <c r="O46" s="59"/>
      <c r="P46" s="59"/>
      <c r="Q46" s="352"/>
      <c r="R46" s="352"/>
      <c r="T46" s="1231"/>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231"/>
      <c r="U47" s="322"/>
      <c r="V47" s="113"/>
      <c r="AB47" s="297"/>
      <c r="AC47" s="297"/>
      <c r="AD47" s="297"/>
      <c r="AE47" s="297"/>
    </row>
    <row r="48" spans="1:33" s="54" customFormat="1" ht="18" customHeight="1">
      <c r="A48" s="113"/>
      <c r="B48" s="666"/>
      <c r="C48" s="1232" t="str">
        <f>IF(AND(H46&gt;=H35,(H46&lt;&gt;0)),"Check input values; APPARENT LOSSES should be less than WATER LOSSES","")</f>
        <v/>
      </c>
      <c r="D48" s="1232"/>
      <c r="E48" s="1232"/>
      <c r="F48" s="1232"/>
      <c r="G48" s="1232"/>
      <c r="H48" s="1232"/>
      <c r="I48" s="1232"/>
      <c r="J48" s="1232"/>
      <c r="K48" s="1232"/>
      <c r="L48" s="1232"/>
      <c r="M48" s="1232"/>
      <c r="N48" s="1232"/>
      <c r="O48" s="1232"/>
      <c r="P48" s="59"/>
      <c r="Q48" s="352"/>
      <c r="R48" s="352"/>
      <c r="S48" s="583"/>
      <c r="T48" s="1231"/>
      <c r="U48" s="322"/>
      <c r="V48" s="113"/>
      <c r="X48" s="169" t="s">
        <v>270</v>
      </c>
      <c r="Y48" s="170" t="s">
        <v>271</v>
      </c>
      <c r="AA48" s="1229"/>
      <c r="AB48" s="1229"/>
      <c r="AC48" s="1229"/>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231"/>
      <c r="U49" s="322"/>
      <c r="V49" s="113"/>
      <c r="X49" s="171"/>
      <c r="Y49" s="172"/>
      <c r="AA49" s="1229"/>
      <c r="AB49" s="1229"/>
      <c r="AC49" s="1229"/>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231"/>
      <c r="U50" s="322"/>
      <c r="V50" s="113"/>
      <c r="X50" s="173">
        <f>IFERROR(IF(W41=1,((H23)/(1-(O41*X41)))-(H23),Q41*H23/(H23+H25)),0)</f>
        <v>0</v>
      </c>
      <c r="Y50" s="174">
        <f>IFERROR(IF(W41=1,((H25)/(1-(O41*X41)))-(H25),Q41*H25/(H23+H25)),0)</f>
        <v>0</v>
      </c>
      <c r="Z50" s="1079">
        <f>SUM(X50:Y50)</f>
        <v>0</v>
      </c>
      <c r="AA50" s="1229"/>
      <c r="AB50" s="1229"/>
      <c r="AC50" s="1229"/>
      <c r="AD50" s="297"/>
      <c r="AE50" s="297"/>
    </row>
    <row r="51" spans="1:31" s="54" customFormat="1">
      <c r="A51" s="113"/>
      <c r="B51" s="666"/>
      <c r="C51" s="1209" t="s">
        <v>662</v>
      </c>
      <c r="D51" s="1209"/>
      <c r="E51" s="1209"/>
      <c r="F51" s="1209"/>
      <c r="G51" s="1018"/>
      <c r="H51" s="1017">
        <f>IFERROR(H35-H46,"")</f>
        <v>0</v>
      </c>
      <c r="I51" s="355"/>
      <c r="J51" s="338" t="str">
        <f>IF('Start Page'!$AB$22="million gallons (US)","MG/Yr",IF('Start Page'!$AB$22="Megalitres (thousand cubic metres)","ML/Yr",IF('Start Page'!$AB$22="acre-feet","Acre-ft/Yr","")))</f>
        <v/>
      </c>
      <c r="K51" s="338"/>
      <c r="L51" s="338"/>
      <c r="M51" s="358"/>
      <c r="N51" s="338"/>
      <c r="O51" s="59"/>
      <c r="P51" s="59"/>
      <c r="Q51" s="337"/>
      <c r="R51" s="59"/>
      <c r="S51" s="59"/>
      <c r="T51" s="59"/>
      <c r="U51" s="322"/>
      <c r="V51" s="113"/>
      <c r="X51" s="1099">
        <f>X50*input_CRUC*1000</f>
        <v>0</v>
      </c>
      <c r="Y51" s="1099">
        <f>Y50*input_VPC</f>
        <v>0</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210" t="s">
        <v>107</v>
      </c>
      <c r="D53" s="1210"/>
      <c r="E53" s="1210"/>
      <c r="F53" s="1210"/>
      <c r="G53" s="687"/>
      <c r="H53" s="1017">
        <f>IFERROR(H46+H51,"")</f>
        <v>0</v>
      </c>
      <c r="I53" s="337"/>
      <c r="J53" s="338" t="str">
        <f>IF('Start Page'!$AB$22="million gallons (US)","MG/Yr",IF('Start Page'!$AB$22="Megalitres (thousand cubic metres)","ML/Yr",IF('Start Page'!$AB$22="acre-feet","Acre-ft/Yr","")))</f>
        <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210" t="s">
        <v>72</v>
      </c>
      <c r="D57" s="1210"/>
      <c r="E57" s="1210"/>
      <c r="F57" s="1210"/>
      <c r="G57" s="1018"/>
      <c r="H57" s="1017">
        <f>IFERROR(H35+H25+H26,"")</f>
        <v>0</v>
      </c>
      <c r="I57" s="355"/>
      <c r="J57" s="338" t="str">
        <f>IF('Start Page'!$AB$22="million gallons (US)","MG/Yr",IF('Start Page'!$AB$22="Megalitres (thousand cubic metres)","ML/Yr",IF('Start Page'!$AB$22="acre-feet","Acre-ft/Yr","")))</f>
        <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t="str">
        <f>'Interactive Data Grading'!D350</f>
        <v/>
      </c>
      <c r="G61" s="320"/>
      <c r="H61" s="398"/>
      <c r="I61" s="363"/>
      <c r="J61" s="364" t="str">
        <f>IF(ISBLANK('Start Page'!$AB$22),"",IF('Start Page'!$AB$22="Megalitres (thousand cubic metres)","kilometers","miles"))</f>
        <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t="str">
        <f>'Interactive Data Grading'!D374</f>
        <v/>
      </c>
      <c r="G62" s="320"/>
      <c r="H62" s="598"/>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t="str">
        <f>IF(ISERROR(H62/H61),"",H62/H61)</f>
        <v/>
      </c>
      <c r="I63" s="59"/>
      <c r="J63" s="364" t="str">
        <f>IF(ISBLANK('Start Page'!$AB$22),"",IF('Start Page'!$AB$22="Megalitres (thousand cubic metres)","conn./km","conn./mile")&amp; " main")</f>
        <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187" t="s">
        <v>769</v>
      </c>
      <c r="D65" s="1187"/>
      <c r="E65" s="1187"/>
      <c r="F65" s="1187"/>
      <c r="G65" s="343"/>
      <c r="H65" s="399" t="s">
        <v>1274</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t="str">
        <f>'Interactive Data Grading'!D398</f>
        <v/>
      </c>
      <c r="G66" s="320"/>
      <c r="H66" s="400"/>
      <c r="I66" s="320"/>
      <c r="J66" s="364" t="str">
        <f>IF(ISBLANK('Start Page'!$AB$22),"",IF('Start Page'!AB22="Megalitres (thousand cubic metres)","metres","ft"))</f>
        <v/>
      </c>
      <c r="K66" s="364"/>
      <c r="L66" s="364"/>
      <c r="M66" s="364" t="s">
        <v>666</v>
      </c>
      <c r="N66" s="364"/>
      <c r="O66" s="366"/>
      <c r="P66" s="366"/>
      <c r="Q66" s="366"/>
      <c r="R66" s="366"/>
      <c r="S66" s="366"/>
      <c r="T66" s="366"/>
      <c r="U66" s="322"/>
      <c r="V66" s="113"/>
      <c r="W66" s="69" t="str">
        <f>IF(H65="Yes",10,F66)</f>
        <v/>
      </c>
      <c r="X66" s="68" t="s">
        <v>129</v>
      </c>
      <c r="Y66" s="68"/>
      <c r="Z66" s="68"/>
      <c r="AB66" s="297"/>
      <c r="AC66" s="297"/>
      <c r="AD66" s="297"/>
      <c r="AE66" s="297"/>
    </row>
    <row r="67" spans="1:31" s="54" customFormat="1" ht="14.45" customHeight="1">
      <c r="A67" s="113"/>
      <c r="B67" s="666"/>
      <c r="C67" s="1211" t="str">
        <f>IF(H65="Yes","Average length of customer service line has been set to zero and a data grading of 10 has been applied","")</f>
        <v/>
      </c>
      <c r="D67" s="1211"/>
      <c r="E67" s="1211"/>
      <c r="F67" s="1211"/>
      <c r="G67" s="1211"/>
      <c r="H67" s="1211"/>
      <c r="I67" s="1211"/>
      <c r="J67" s="1211"/>
      <c r="K67" s="1211"/>
      <c r="L67" s="1211"/>
      <c r="M67" s="1211"/>
      <c r="N67" s="1211"/>
      <c r="O67" s="1211"/>
      <c r="P67" s="366"/>
      <c r="Q67" s="366"/>
      <c r="R67" s="366"/>
      <c r="S67" s="366"/>
      <c r="T67" s="366"/>
      <c r="U67" s="322"/>
      <c r="V67" s="113"/>
      <c r="W67" s="69">
        <f>IF(H65="Yes",0,H66)</f>
        <v>0</v>
      </c>
      <c r="X67" s="68" t="s">
        <v>130</v>
      </c>
      <c r="Y67" s="68"/>
      <c r="Z67" s="68"/>
      <c r="AB67" s="297"/>
      <c r="AC67" s="297"/>
      <c r="AD67" s="297"/>
      <c r="AE67" s="297"/>
    </row>
    <row r="68" spans="1:31" s="54" customFormat="1">
      <c r="A68" s="113"/>
      <c r="B68" s="666" t="s">
        <v>915</v>
      </c>
      <c r="C68" s="626" t="s">
        <v>487</v>
      </c>
      <c r="D68" s="983" t="s">
        <v>881</v>
      </c>
      <c r="E68" s="681" t="s">
        <v>882</v>
      </c>
      <c r="F68" s="587" t="str">
        <f>'Interactive Data Grading'!D422</f>
        <v/>
      </c>
      <c r="G68" s="320"/>
      <c r="H68" s="400"/>
      <c r="I68" s="367"/>
      <c r="J68" s="364" t="str">
        <f>IF(ISBLANK('Start Page'!$AB$22),"",IF('Start Page'!AB22="Megalitres (thousand cubic metres)","metres (head)","psi"))</f>
        <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t="str">
        <f>'Interactive Data Grading'!D446</f>
        <v/>
      </c>
      <c r="G76" s="59"/>
      <c r="H76" s="401"/>
      <c r="I76" s="59"/>
      <c r="J76" s="1217"/>
      <c r="K76" s="1218"/>
      <c r="L76" s="1218"/>
      <c r="M76" s="1219"/>
      <c r="N76" s="59"/>
      <c r="O76" s="1220" t="str">
        <f>IF(AND(NOT(ISBLANK(H76)),ISBLANK(J76)),"&lt;----Enter units","")</f>
        <v/>
      </c>
      <c r="P76" s="1220"/>
      <c r="Q76" s="1224" t="s">
        <v>903</v>
      </c>
      <c r="R76" s="1224"/>
      <c r="S76" s="1224"/>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t="str">
        <f>'Interactive Data Grading'!D469</f>
        <v/>
      </c>
      <c r="G77" s="59"/>
      <c r="H77" s="401"/>
      <c r="I77" s="59"/>
      <c r="J77" s="338" t="str">
        <f>"$/"&amp;IF('Start Page'!$AB$22="million gallons (US)","Million gallons",IF('Start Page'!$AB$22="Megalitres (thousand cubic metres)","Megalitre",IF('Start Page'!$AB$22="acre-feet","acre-ft","")))</f>
        <v>$/</v>
      </c>
      <c r="K77" s="1225" t="str">
        <f>IF(Z77=1,"&lt;&lt;&lt; Using CRUC as basis for VPC","")</f>
        <v/>
      </c>
      <c r="L77" s="1225"/>
      <c r="M77" s="1225"/>
      <c r="N77" s="1225"/>
      <c r="O77" s="1225"/>
      <c r="P77" s="1226"/>
      <c r="Q77" s="1221"/>
      <c r="R77" s="1222"/>
      <c r="S77" s="1223"/>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212" t="str">
        <f>IF(OR(ISBLANK(J76),ISBLANK(J77),ISBLANK(H77),ISBLANK('Start Page'!AB22)),"",IF(H76*INDEX(Sheet1!B2:D4,MATCH('Start Page'!AB22,Sheet1!A2:A4,0),MATCH(J76,Sheet1!B1:D1,0))/H77&gt;1,"","Retail costs are less than (or equal to) production costs; please review and correct if necessary"))</f>
        <v/>
      </c>
      <c r="D79" s="1212"/>
      <c r="E79" s="1212"/>
      <c r="F79" s="1212"/>
      <c r="G79" s="1212"/>
      <c r="H79" s="1212"/>
      <c r="I79" s="1212"/>
      <c r="J79" s="1212"/>
      <c r="K79" s="1212"/>
      <c r="L79" s="1212"/>
      <c r="M79" s="1212"/>
      <c r="N79" s="1212"/>
      <c r="O79" s="1212"/>
      <c r="P79" s="1212"/>
      <c r="Q79" s="1212"/>
      <c r="R79" s="59"/>
      <c r="S79" s="59"/>
      <c r="T79" s="59"/>
      <c r="U79" s="322"/>
      <c r="V79" s="113"/>
      <c r="W79" s="54" t="str">
        <f>IF(OR(ISBLANK(J76),ISBLANK(J77),ISBLANK(H77)),"",IF(H76*INDEX(Sheet1!B2:D4,MATCH('Start Page'!AB22,Sheet1!A2:A4,0),MATCH(J76,Sheet1!B1:D1,0))/H77&gt;1,0,1))</f>
        <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Click 'g' for 7 parameter(s), then complete all visible data grading questions to enable the Data Validity Score to calculate</v>
      </c>
      <c r="D84" s="1215"/>
      <c r="E84" s="1215"/>
      <c r="F84" s="1215"/>
      <c r="G84" s="1215"/>
      <c r="H84" s="1215"/>
      <c r="I84" s="1215"/>
      <c r="J84" s="1215"/>
      <c r="K84" s="1215"/>
      <c r="L84" s="1215"/>
      <c r="M84" s="1215"/>
      <c r="N84" s="1215"/>
      <c r="O84" s="1215"/>
      <c r="P84" s="1215"/>
      <c r="Q84" s="1215"/>
      <c r="R84" s="1216"/>
      <c r="S84" s="989" t="s">
        <v>1156</v>
      </c>
      <c r="T84" s="379"/>
      <c r="U84" s="380"/>
      <c r="V84" s="121"/>
      <c r="W84" s="79">
        <f>'M36 Refs'!AN118</f>
        <v>7</v>
      </c>
      <c r="X84" s="71" t="str">
        <f>Dashboard!BR4</f>
        <v>N/A*</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213" t="str">
        <f>IF(ISERROR('M36 Refs'!AN118),"",IF('M36 Refs'!AN118&lt;=0,"A weighted scale for the components of supply, consumption and water loss is included in the calculation of the Water Audit Data Validity Score",""))</f>
        <v/>
      </c>
      <c r="D86" s="1213"/>
      <c r="E86" s="1213"/>
      <c r="F86" s="1213"/>
      <c r="G86" s="1213"/>
      <c r="H86" s="1213"/>
      <c r="I86" s="1213"/>
      <c r="J86" s="1213"/>
      <c r="K86" s="1213"/>
      <c r="L86" s="1213"/>
      <c r="M86" s="1213"/>
      <c r="N86" s="1213"/>
      <c r="O86" s="1213"/>
      <c r="P86" s="1213"/>
      <c r="Q86" s="1213"/>
      <c r="R86" s="1213"/>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c>
      <c r="D89" s="389"/>
      <c r="E89" s="622"/>
      <c r="F89" s="390"/>
      <c r="G89" s="389"/>
      <c r="H89" s="72"/>
      <c r="I89" s="72"/>
      <c r="J89" s="72"/>
      <c r="K89" s="72"/>
      <c r="L89" s="72"/>
      <c r="M89" s="72"/>
      <c r="N89" s="72"/>
      <c r="Q89" s="72"/>
      <c r="R89" s="1010" t="s">
        <v>1161</v>
      </c>
      <c r="S89" s="1008"/>
      <c r="T89" s="1011" t="str">
        <f>Dashboard!AD29</f>
        <v/>
      </c>
      <c r="U89" s="380"/>
      <c r="V89" s="122"/>
      <c r="AB89" s="71"/>
      <c r="AC89" s="71"/>
      <c r="AD89" s="71"/>
      <c r="AE89" s="71"/>
    </row>
    <row r="90" spans="1:31" s="65" customFormat="1" ht="15" customHeight="1">
      <c r="A90" s="122"/>
      <c r="B90" s="667"/>
      <c r="C90" s="599" t="str">
        <f ca="1">IFERROR(IF(ISERROR('M36 Refs'!AN118),"","     2: "&amp;VLOOKUP(2,'M36 Refs'!$AJ$98:$AK$117,2,FALSE)),"")</f>
        <v/>
      </c>
      <c r="D90" s="389"/>
      <c r="E90" s="622"/>
      <c r="F90" s="390"/>
      <c r="G90" s="389"/>
      <c r="H90" s="72"/>
      <c r="I90" s="72"/>
      <c r="J90" s="72"/>
      <c r="K90" s="72"/>
      <c r="L90" s="72"/>
      <c r="M90" s="72"/>
      <c r="N90" s="72"/>
      <c r="Q90" s="72"/>
      <c r="R90" s="1010" t="s">
        <v>1162</v>
      </c>
      <c r="S90" s="1008"/>
      <c r="T90" s="1012" t="str">
        <f>Dashboard!AN29</f>
        <v/>
      </c>
      <c r="U90" s="380"/>
      <c r="V90" s="122"/>
      <c r="AB90" s="71"/>
      <c r="AC90" s="71"/>
      <c r="AD90" s="71"/>
      <c r="AE90" s="71"/>
    </row>
    <row r="91" spans="1:31" s="65" customFormat="1" ht="15" customHeight="1">
      <c r="A91" s="122"/>
      <c r="B91" s="667"/>
      <c r="C91" s="599" t="str">
        <f ca="1">IFERROR(IF(ISERROR('M36 Refs'!AN118),"","     3: "&amp;VLOOKUP(3,'M36 Refs'!$AJ$98:$AK$117,2,FALSE)),"")</f>
        <v/>
      </c>
      <c r="D91" s="389"/>
      <c r="E91" s="622"/>
      <c r="F91" s="390"/>
      <c r="G91" s="389"/>
      <c r="H91" s="72"/>
      <c r="I91" s="72"/>
      <c r="J91" s="72"/>
      <c r="K91" s="72"/>
      <c r="L91" s="72"/>
      <c r="M91" s="72"/>
      <c r="N91" s="72"/>
      <c r="Q91" s="72"/>
      <c r="R91" s="1010" t="s">
        <v>1185</v>
      </c>
      <c r="S91" s="1008"/>
      <c r="T91" s="1013" t="str">
        <f>Dashboard!AX29</f>
        <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5" activePane="bottomLeft" state="frozen"/>
      <selection activeCell="B15" sqref="B15:F17"/>
      <selection pane="bottomLeft" activeCell="C5" sqref="C5:D5"/>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Enter info on Start Page</v>
      </c>
      <c r="C1" s="718"/>
      <c r="D1" s="719"/>
      <c r="E1" s="1042" t="s">
        <v>1157</v>
      </c>
    </row>
    <row r="2" spans="1:20" ht="30.6" customHeight="1">
      <c r="A2" s="562"/>
      <c r="B2" s="1041" t="str">
        <f>IF(ISBLANK('Start Page'!AB18),"",'Start Page'!AB18)</f>
        <v/>
      </c>
      <c r="C2" s="562"/>
      <c r="D2" s="562"/>
      <c r="E2" s="1234" t="s">
        <v>1232</v>
      </c>
    </row>
    <row r="3" spans="1:20" ht="38.25" customHeight="1">
      <c r="A3" s="562"/>
      <c r="B3" s="991"/>
      <c r="C3" s="562"/>
      <c r="D3" s="562"/>
      <c r="E3" s="1235"/>
    </row>
    <row r="4" spans="1:20" ht="1.35" customHeight="1"/>
    <row r="5" spans="1:20" s="563" customFormat="1" ht="16.350000000000001" customHeight="1">
      <c r="A5" s="1245" t="s">
        <v>1135</v>
      </c>
      <c r="B5" s="1246"/>
      <c r="C5" s="1236" t="s">
        <v>326</v>
      </c>
      <c r="D5" s="1236"/>
      <c r="E5" s="1042" t="s">
        <v>1136</v>
      </c>
      <c r="G5" s="953"/>
      <c r="H5" s="953"/>
      <c r="I5" s="954"/>
      <c r="J5" s="953"/>
      <c r="K5" s="953"/>
      <c r="L5" s="953"/>
      <c r="M5" s="953"/>
      <c r="N5" s="953"/>
      <c r="O5" s="953"/>
      <c r="P5" s="953"/>
      <c r="Q5" s="953"/>
      <c r="R5" s="953"/>
    </row>
    <row r="6" spans="1:20" ht="14.45" customHeight="1">
      <c r="A6" s="269"/>
      <c r="B6" s="269"/>
      <c r="C6" s="1244" t="str">
        <f>IF(OR(AND(D8="Yes",Worksheet!H15&gt;0),AND(D8="No",Worksheet!H15&lt;=0),LEN(D8)=0),"","Inconsistency between Worksheet VOS input and vos.0 response")</f>
        <v/>
      </c>
      <c r="D6" s="1244"/>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t="e">
        <f>VLOOKUP(D9,$P$7:$Q$15,2,FALSE)</f>
        <v>#N/A</v>
      </c>
      <c r="S7" s="680" t="s">
        <v>907</v>
      </c>
      <c r="T7" s="680">
        <v>1</v>
      </c>
    </row>
    <row r="8" spans="1:20" ht="20.100000000000001" customHeight="1">
      <c r="A8" s="269"/>
      <c r="B8" s="659" t="s">
        <v>438</v>
      </c>
      <c r="C8" s="1034" t="str">
        <f>VOS!B34</f>
        <v>Did the water utility supply any water from its own sources during the audit year?</v>
      </c>
      <c r="D8" s="404"/>
      <c r="E8" s="870"/>
      <c r="F8" s="402"/>
      <c r="I8" s="958"/>
      <c r="J8" s="951" t="s">
        <v>791</v>
      </c>
      <c r="P8" s="977" t="str">
        <f>VOS!C24</f>
        <v>25-50%</v>
      </c>
      <c r="Q8" s="978">
        <v>0</v>
      </c>
      <c r="R8" s="951" t="e">
        <f>VLOOKUP(D63,$P$7:$Q$15,2,FALSE)</f>
        <v>#N/A</v>
      </c>
      <c r="S8" s="268" t="s">
        <v>908</v>
      </c>
      <c r="T8" s="268">
        <v>2</v>
      </c>
    </row>
    <row r="9" spans="1:20" ht="17.850000000000001" customHeight="1">
      <c r="A9" s="269"/>
      <c r="B9" s="659" t="s">
        <v>304</v>
      </c>
      <c r="C9" s="1034" t="str">
        <f>VOS!B35</f>
        <v>What percent of own supply volume is metered?</v>
      </c>
      <c r="D9" s="404"/>
      <c r="E9" s="870" t="str">
        <f>IF(OR(D20=10,NOT(ISNUMBER(D20))),"",IF(I9=I20,"Limiting",IF(VLOOKUP(D9,$P$7:$Q$15,2,FALSE)=0,"Limiting","")))</f>
        <v/>
      </c>
      <c r="F9" s="402"/>
      <c r="G9" s="951">
        <f>IF(LEN(D9)&gt;0,1,0)</f>
        <v>0</v>
      </c>
      <c r="H9" s="959" t="e">
        <f>VLOOKUP('Interactive Data Grading'!D9,VOS!$C$6:$M$16,11,FALSE)</f>
        <v>#N/A</v>
      </c>
      <c r="I9" s="959" t="e">
        <f>H9</f>
        <v>#N/A</v>
      </c>
      <c r="P9" s="977" t="str">
        <f>VOS!C25</f>
        <v>&gt;50-75%</v>
      </c>
      <c r="Q9" s="978">
        <v>0</v>
      </c>
      <c r="R9" s="951" t="e">
        <f>VLOOKUP(D116,$P$7:$Q$15,2,FALSE)</f>
        <v>#N/A</v>
      </c>
      <c r="S9" s="268" t="s">
        <v>909</v>
      </c>
      <c r="T9" s="268">
        <v>3</v>
      </c>
    </row>
    <row r="10" spans="1:20" ht="64.150000000000006" customHeight="1">
      <c r="A10" s="269"/>
      <c r="C10" s="1240" t="s">
        <v>1233</v>
      </c>
      <c r="D10" s="1241"/>
      <c r="E10" s="870"/>
      <c r="F10" s="402"/>
      <c r="H10" s="959"/>
      <c r="I10" s="959"/>
      <c r="P10" s="977"/>
      <c r="Q10" s="978"/>
      <c r="T10" s="268">
        <v>4</v>
      </c>
    </row>
    <row r="11" spans="1:20" ht="20.100000000000001" customHeight="1">
      <c r="A11" s="269"/>
      <c r="B11" s="659" t="s">
        <v>305</v>
      </c>
      <c r="C11" s="1034" t="str">
        <f>VOS!B36</f>
        <v>What is the frequency of electronic calibration?</v>
      </c>
      <c r="D11" s="404"/>
      <c r="E11" s="870" t="str">
        <f>IFERROR(IF(OR(D20=10,NOT(ISNUMBER(D20))),"",IF(I11=I20,"Limiting","")),"")</f>
        <v/>
      </c>
      <c r="F11" s="402"/>
      <c r="G11" s="951" t="str">
        <f>IFERROR(IF(H9&lt;7,1,IF(LEN(D11)&gt;0,1,0)),"")</f>
        <v/>
      </c>
      <c r="H11" s="959" t="e">
        <f>VLOOKUP('Interactive Data Grading'!D11,VOS!$D$6:$M$16,10,FALSE)</f>
        <v>#N/A</v>
      </c>
      <c r="I11" s="960" t="e">
        <f>IF(AND(H11&gt;=7,H14&gt;=7),MAX(H11,9),IF(AND(H11&gt;3,H11&lt;7,H14&gt;3,H14&lt;7),MAX(H11,H14),IF(H14&gt;=7,MAX(7,H11),H11)))</f>
        <v>#N/A</v>
      </c>
      <c r="P11" s="977" t="str">
        <f>VOS!C26</f>
        <v>&gt;75% - 90%</v>
      </c>
      <c r="Q11" s="978">
        <v>0</v>
      </c>
    </row>
    <row r="12" spans="1:20" ht="22.5" customHeight="1">
      <c r="A12" s="269"/>
      <c r="B12" s="659" t="s">
        <v>306</v>
      </c>
      <c r="C12" s="1034" t="str">
        <f>VOS!B37</f>
        <v>What level of data transfer errors are checked as part of the electronic calibration process?</v>
      </c>
      <c r="D12" s="409"/>
      <c r="E12" s="870" t="str">
        <f t="shared" ref="E12:E13" si="0">IFERROR(IF(OR($D$20=10,NOT(ISNUMBER($D$20))),"",IF(I12=$I$20,"Limiting","")),"")</f>
        <v/>
      </c>
      <c r="F12" s="402"/>
      <c r="G12" s="951" t="str">
        <f>IFERROR(IF(H9&lt;7,1,IF(OR(D11=VOS!D23,D11=VOS!D27),1,IF(LEN(D12)&gt;0,1,0))),"")</f>
        <v/>
      </c>
      <c r="H12" s="959" t="e">
        <f>VLOOKUP('Interactive Data Grading'!D12,VOS!$E$6:$M$16,9,FALSE)</f>
        <v>#N/A</v>
      </c>
      <c r="I12" s="959" t="e">
        <f>H12</f>
        <v>#N/A</v>
      </c>
      <c r="J12" s="951" t="s">
        <v>305</v>
      </c>
      <c r="P12" s="977"/>
      <c r="Q12" s="978"/>
    </row>
    <row r="13" spans="1:20" ht="20.100000000000001" customHeight="1">
      <c r="A13" s="269"/>
      <c r="B13" s="659" t="s">
        <v>307</v>
      </c>
      <c r="C13" s="1034" t="str">
        <f>VOS!B38</f>
        <v>Is the most recent electronic calibration documentation available for review?</v>
      </c>
      <c r="D13" s="404"/>
      <c r="E13" s="870" t="str">
        <f t="shared" si="0"/>
        <v/>
      </c>
      <c r="F13" s="402"/>
      <c r="G13" s="961" t="str">
        <f>IFERROR(IF(H9&lt;7,1,IF(OR(D11=VOS!D23,D11=VOS!D27),1,IF(LEN(D13)&gt;0,1,0))),"")</f>
        <v/>
      </c>
      <c r="H13" s="959" t="e">
        <f>VLOOKUP('Interactive Data Grading'!D13,VOS!$F$6:$M$16,8,FALSE)</f>
        <v>#N/A</v>
      </c>
      <c r="I13" s="960" t="e">
        <f>IF(D11=VOS!D23,X,IF(AND(H13=5,H15=10),7,H13))</f>
        <v>#N/A</v>
      </c>
      <c r="J13" s="951" t="s">
        <v>305</v>
      </c>
      <c r="P13" s="1073" t="str">
        <f>VOS!C27</f>
        <v>&gt;90% - 95%</v>
      </c>
      <c r="Q13" s="1074">
        <v>1</v>
      </c>
    </row>
    <row r="14" spans="1:20" ht="20.25" customHeight="1">
      <c r="A14" s="269"/>
      <c r="B14" s="659" t="s">
        <v>308</v>
      </c>
      <c r="C14" s="1034" t="str">
        <f>VOS!B39</f>
        <v>What is the frequency of in-situ flow accuracy testing?</v>
      </c>
      <c r="D14" s="404"/>
      <c r="E14" s="870" t="str">
        <f t="shared" ref="E14:E19" si="1">IFERROR(IF(OR($D$20=10,NOT(ISNUMBER($D$20))),"",IF(I14=$I$20,"Limiting","")),"")</f>
        <v/>
      </c>
      <c r="F14" s="402"/>
      <c r="G14" s="951" t="str">
        <f>IF(D13=VOS!F23,1,IFERROR(IF(H9&lt;7,1,IF(LEN(D14)&gt;0,1,0)),""))</f>
        <v/>
      </c>
      <c r="H14" s="959" t="e">
        <f>VLOOKUP('Interactive Data Grading'!D14,VOS!$G$6:$M$16,7,FALSE)</f>
        <v>#N/A</v>
      </c>
      <c r="I14" s="960" t="e">
        <f>IF(AND(H11&gt;=7,H14&gt;=7),MAX(H14,9),IF(AND(H11&gt;3,H11&lt;7,H14&gt;3,H14&lt;7),MAX(H11,H14),IF(H11&gt;=7,MAX(7,H14),H14)))</f>
        <v>#N/A</v>
      </c>
      <c r="P14" s="1073" t="str">
        <f>VOS!C28</f>
        <v>&gt;95 - 99%</v>
      </c>
      <c r="Q14" s="1074">
        <v>1</v>
      </c>
    </row>
    <row r="15" spans="1:20" ht="26.1" customHeight="1">
      <c r="A15" s="269"/>
      <c r="B15" s="659" t="s">
        <v>309</v>
      </c>
      <c r="C15" s="1034" t="str">
        <f>VOS!B40</f>
        <v>Is the most recent in-situ flow accuracy testing documentation available for review?</v>
      </c>
      <c r="D15" s="404"/>
      <c r="E15" s="870" t="str">
        <f t="shared" si="1"/>
        <v/>
      </c>
      <c r="F15" s="402"/>
      <c r="G15" s="951" t="str">
        <f>IFERROR(IF(H9&lt;7,1,IF(D14=VOS!G23,1,IF(LEN(D15)&gt;0,1,0))),"")</f>
        <v/>
      </c>
      <c r="H15" s="959" t="e">
        <f>VLOOKUP('Interactive Data Grading'!D15,VOS!$H$6:$M$16,6,FALSE)</f>
        <v>#N/A</v>
      </c>
      <c r="I15" s="960" t="e">
        <f>IF(D14=VOS!G23,X,IF(AND(H15=5,H13=10),7,H15))</f>
        <v>#N/A</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c r="E16" s="870" t="str">
        <f t="shared" si="1"/>
        <v/>
      </c>
      <c r="F16" s="402"/>
      <c r="G16" s="951" t="str">
        <f>IFERROR(IF(H9&lt;7,1,IF(OR(D14=VOS!D23,D15=VOS!H23),1,IF(LEN(D16)&gt;0,1,0))),"")</f>
        <v/>
      </c>
      <c r="H16" s="959" t="e">
        <f>VLOOKUP('Interactive Data Grading'!D16,VOS!$I$6:$M$16,5,FALSE)</f>
        <v>#N/A</v>
      </c>
      <c r="I16" s="960" t="e">
        <f>IF(OR(D14=VOS!D23,D15=VOS!H23),X,H16)</f>
        <v>#N/A</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c r="E17" s="870" t="str">
        <f t="shared" si="1"/>
        <v/>
      </c>
      <c r="F17" s="402"/>
      <c r="G17" s="951" t="str">
        <f>IFERROR(IF(H9&lt;7,1,IF(AND(OR(D11=VOS!D23,D11=VOS!D27),D14=VOS!G23),1,IF(LEN(D17)&gt;0,1,0))),"")</f>
        <v/>
      </c>
      <c r="H17" s="959" t="e">
        <f>VLOOKUP('Interactive Data Grading'!D17,VOS!$J$6:$M$16,4,FALSE)</f>
        <v>#N/A</v>
      </c>
      <c r="I17" s="960" t="e">
        <f>IF(OR(D14=VOS!D23,D15=VOS!H23),X,H17)</f>
        <v>#N/A</v>
      </c>
      <c r="J17" s="961" t="s">
        <v>879</v>
      </c>
    </row>
    <row r="18" spans="1:18" ht="22.35" customHeight="1">
      <c r="A18" s="269"/>
      <c r="B18" s="659" t="s">
        <v>312</v>
      </c>
      <c r="C18" s="1034" t="str">
        <f>VOS!B43</f>
        <v>Which best describes the frequency of finished water meter readings?</v>
      </c>
      <c r="D18" s="404"/>
      <c r="E18" s="870" t="str">
        <f t="shared" si="1"/>
        <v/>
      </c>
      <c r="F18" s="402"/>
      <c r="G18" s="951" t="str">
        <f>IFERROR(IF(H9&lt;7,1,IF(LEN(D18)&gt;0,1,0)),"")</f>
        <v/>
      </c>
      <c r="H18" s="959" t="e">
        <f>VLOOKUP('Interactive Data Grading'!D18,VOS!$K$6:$M$16,3,FALSE)</f>
        <v>#N/A</v>
      </c>
      <c r="I18" s="959" t="e">
        <f>H18</f>
        <v>#N/A</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c r="E19" s="870" t="str">
        <f t="shared" si="1"/>
        <v/>
      </c>
      <c r="F19" s="402"/>
      <c r="G19" s="951" t="str">
        <f>IFERROR(IF(H9&lt;7,1,IF(LEN(D19)&gt;0,1,0)),"")</f>
        <v/>
      </c>
      <c r="H19" s="959" t="e">
        <f>VLOOKUP('Interactive Data Grading'!D19,VOS!$L$6:$M$16,2,FALSE)</f>
        <v>#N/A</v>
      </c>
      <c r="I19" s="959" t="e">
        <f>H19</f>
        <v>#N/A</v>
      </c>
    </row>
    <row r="20" spans="1:18" ht="27.6" customHeight="1">
      <c r="A20" s="269"/>
      <c r="B20" s="269"/>
      <c r="C20" s="675" t="s">
        <v>313</v>
      </c>
      <c r="D20" s="873" t="str">
        <f>IF(D8="","",IF(D8="No","n/a",IF(G20=0,"",IF(R7=0,H9,I20))))</f>
        <v/>
      </c>
      <c r="E20" s="870"/>
      <c r="F20" s="402"/>
      <c r="G20" s="952">
        <f>MIN(G9:G19)</f>
        <v>0</v>
      </c>
      <c r="H20" s="962" t="e">
        <f>MIN(H9:H19)</f>
        <v>#N/A</v>
      </c>
      <c r="I20" s="962">
        <f t="array" ref="I20">MIN(IF(ISNUMBER(I9:I19),I9:I19))</f>
        <v>0</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45" t="s">
        <v>1135</v>
      </c>
      <c r="B36" s="1246"/>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c r="E39" s="870" t="str">
        <f>IFERROR(IF(OR($D$43="",$H39=10,NOT(ISNUMBER($H39))),"",IF(H39=$H$43,"Limiting","")),"")</f>
        <v/>
      </c>
      <c r="F39" s="402"/>
      <c r="G39" s="965">
        <f t="shared" ref="G39" si="2">IF(LEN(D39)&gt;0,1,0)</f>
        <v>0</v>
      </c>
      <c r="H39" s="959" t="e">
        <f>VLOOKUP('Interactive Data Grading'!D39,VOSEA!$C$6:$G$18,5,FALSE)</f>
        <v>#N/A</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c r="E40" s="870" t="str">
        <f t="shared" ref="E40:E42" si="3">IFERROR(IF(OR($D$43="",$H40=10,NOT(ISNUMBER($H40))),"",IF(H40=$H$43,"Limiting","")),"")</f>
        <v/>
      </c>
      <c r="F40" s="402"/>
      <c r="G40" s="965">
        <f>IF(OR(LEN(D40)&gt;0,D39=VOSEA!$C$23),1,0)</f>
        <v>0</v>
      </c>
      <c r="H40" s="959" t="e">
        <f>VLOOKUP('Interactive Data Grading'!D40,VOSEA!$D$6:$G$18,4,FALSE)</f>
        <v>#N/A</v>
      </c>
      <c r="I40" s="958"/>
      <c r="J40" s="951" t="s">
        <v>337</v>
      </c>
    </row>
    <row r="41" spans="1:18" ht="27.6" customHeight="1">
      <c r="A41" s="269"/>
      <c r="B41" s="659" t="s">
        <v>339</v>
      </c>
      <c r="C41" s="1035" t="str">
        <f>VOSEA!B36</f>
        <v>Is the annual net distribution storage change included in either the VOS input or the VOSEA input?</v>
      </c>
      <c r="D41" s="404"/>
      <c r="E41" s="870" t="str">
        <f t="shared" si="3"/>
        <v/>
      </c>
      <c r="F41" s="402"/>
      <c r="G41" s="965">
        <f t="shared" ref="G41:G42" si="4">IF(LEN(D41)&gt;0,1,0)</f>
        <v>0</v>
      </c>
      <c r="H41" s="959" t="e">
        <f>VLOOKUP('Interactive Data Grading'!D41,VOSEA!$E$6:$G$18,3,FALSE)</f>
        <v>#N/A</v>
      </c>
      <c r="I41" s="958"/>
    </row>
    <row r="42" spans="1:18" ht="27.6" customHeight="1">
      <c r="A42" s="269"/>
      <c r="B42" s="659" t="s">
        <v>340</v>
      </c>
      <c r="C42" s="1035" t="str">
        <f>VOSEA!B37</f>
        <v>Are the flow accuracy test and/or electronic calibration results included in the VOSEA input in the water audit?</v>
      </c>
      <c r="D42" s="404"/>
      <c r="E42" s="870" t="str">
        <f t="shared" si="3"/>
        <v/>
      </c>
      <c r="F42" s="402"/>
      <c r="G42" s="965">
        <f t="shared" si="4"/>
        <v>0</v>
      </c>
      <c r="H42" s="959" t="e">
        <f>VLOOKUP('Interactive Data Grading'!D42,VOSEA!$F$6:$G$18,2,FALSE)</f>
        <v>#N/A</v>
      </c>
      <c r="I42" s="958"/>
    </row>
    <row r="43" spans="1:18" ht="27.6" customHeight="1">
      <c r="A43" s="269"/>
      <c r="B43" s="269"/>
      <c r="C43" s="675" t="s">
        <v>313</v>
      </c>
      <c r="D43" s="873" t="str">
        <f>IFERROR(IF(D8="No","n/a",IF(G43=0,"",H43)),"")</f>
        <v/>
      </c>
      <c r="E43" s="870"/>
      <c r="F43" s="402"/>
      <c r="G43" s="965">
        <f>MIN(G39:G42)</f>
        <v>0</v>
      </c>
      <c r="H43" s="962">
        <f t="array" ref="H43">MIN(IF(ISNUMBER(H39:H42),H39:H42))</f>
        <v>0</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45" t="s">
        <v>1135</v>
      </c>
      <c r="B59" s="1246"/>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44" t="str">
        <f>IF(OR(AND(D62="Yes",Worksheet!H16&gt;0),AND(D62="No",Worksheet!H16&lt;=0),LEN(D62)=0),"","Inconsistency between Worksheet WI input and Wi.0 response")</f>
        <v/>
      </c>
      <c r="D60" s="1244"/>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c r="E62" s="870"/>
      <c r="F62" s="402"/>
      <c r="I62" s="958"/>
      <c r="J62" s="951" t="s">
        <v>791</v>
      </c>
    </row>
    <row r="63" spans="1:18" ht="17.45" customHeight="1">
      <c r="A63" s="269"/>
      <c r="B63" s="659" t="s">
        <v>345</v>
      </c>
      <c r="C63" s="1034" t="str">
        <f>WI!B35</f>
        <v>What percent of water imported is metered?</v>
      </c>
      <c r="D63" s="404"/>
      <c r="E63" s="870" t="str">
        <f>IF(OR(D74=10,NOT(ISNUMBER(D74))),"",IF(I63=I74,"Limiting",IF(VLOOKUP(D63,$P$7:$Q$15,2,FALSE)=0,"Limiting","")))</f>
        <v/>
      </c>
      <c r="F63" s="402"/>
      <c r="G63" s="951">
        <f>IF(LEN(D63)&gt;0,1,0)</f>
        <v>0</v>
      </c>
      <c r="H63" s="959" t="e">
        <f>VLOOKUP('Interactive Data Grading'!D63,WI!$C$6:$M$16,11,FALSE)</f>
        <v>#N/A</v>
      </c>
      <c r="I63" s="959" t="e">
        <f>H63</f>
        <v>#N/A</v>
      </c>
    </row>
    <row r="64" spans="1:18" ht="67.5" customHeight="1">
      <c r="A64" s="269"/>
      <c r="C64" s="1242" t="s">
        <v>1234</v>
      </c>
      <c r="D64" s="1243"/>
      <c r="E64" s="870"/>
      <c r="F64" s="402"/>
      <c r="H64" s="959"/>
      <c r="I64" s="960"/>
    </row>
    <row r="65" spans="1:18" ht="18" customHeight="1">
      <c r="A65" s="269"/>
      <c r="B65" s="659" t="s">
        <v>346</v>
      </c>
      <c r="C65" s="1034" t="str">
        <f>WI!B36</f>
        <v>What is the frequency of electronic calibration?</v>
      </c>
      <c r="D65" s="404"/>
      <c r="E65" s="870" t="str">
        <f>IFERROR(IF(OR($D$74=10,NOT(ISNUMBER($D$74))),"",IF(I65=$I$74,"Limiting","")),"")</f>
        <v/>
      </c>
      <c r="F65" s="402"/>
      <c r="G65" s="951" t="str">
        <f>IFERROR(IF(H63&lt;7,1,IF(LEN(D65)&gt;0,1,0)),"")</f>
        <v/>
      </c>
      <c r="H65" s="959" t="e">
        <f>VLOOKUP('Interactive Data Grading'!D65,WI!$D$6:$M$16,10,FALSE)</f>
        <v>#N/A</v>
      </c>
      <c r="I65" s="960" t="e">
        <f>IF(AND(H65&gt;=7,H68&gt;=7),MAX(H65,9),IF(AND(H65&gt;3,H65&lt;7,H68&gt;3,H68&lt;7),MAX(H65,H68),IF(H68&gt;=7,MAX(7,H65),H65)))</f>
        <v>#N/A</v>
      </c>
    </row>
    <row r="66" spans="1:18" ht="26.45" customHeight="1">
      <c r="A66" s="269"/>
      <c r="B66" s="659" t="s">
        <v>347</v>
      </c>
      <c r="C66" s="1034" t="str">
        <f>WI!B37</f>
        <v>What level of data transfer errors are checked as part of the electronic calibration process?</v>
      </c>
      <c r="D66" s="409"/>
      <c r="E66" s="870" t="str">
        <f t="shared" ref="E66:E73" si="5">IFERROR(IF(OR($D$74=10,NOT(ISNUMBER($D$74))),"",IF(I66=$I$74,"Limiting","")),"")</f>
        <v/>
      </c>
      <c r="F66" s="402"/>
      <c r="G66" s="961" t="str">
        <f>IFERROR(IF(H63&lt;7,1,IF(OR(D65=WI!D23,D65=WI!D27),1,IF(LEN(D66)&gt;0,1,0))),"")</f>
        <v/>
      </c>
      <c r="H66" s="959" t="e">
        <f>VLOOKUP('Interactive Data Grading'!D66,WI!$E$6:$M$16,9,FALSE)</f>
        <v>#N/A</v>
      </c>
      <c r="I66" s="959" t="e">
        <f>H66</f>
        <v>#N/A</v>
      </c>
      <c r="J66" s="951" t="s">
        <v>346</v>
      </c>
    </row>
    <row r="67" spans="1:18" ht="18" customHeight="1">
      <c r="A67" s="269"/>
      <c r="B67" s="659" t="s">
        <v>348</v>
      </c>
      <c r="C67" s="1034" t="str">
        <f>WI!B38</f>
        <v>Is the most recent electronic calibration documentation available?</v>
      </c>
      <c r="D67" s="404"/>
      <c r="E67" s="870" t="str">
        <f t="shared" si="5"/>
        <v/>
      </c>
      <c r="F67" s="402"/>
      <c r="G67" s="951" t="str">
        <f>IFERROR(IF(H63&lt;7,1,IF(OR(D65=WI!D23,D65=WI!D27),1,IF(LEN(D67)&gt;0,1,0))),"")</f>
        <v/>
      </c>
      <c r="H67" s="959" t="e">
        <f>VLOOKUP('Interactive Data Grading'!D67,WI!$F$6:$M$16,8,FALSE)</f>
        <v>#N/A</v>
      </c>
      <c r="I67" s="960" t="e">
        <f>IF(D65=WI!D23,X,IF(AND(H67=5,H69=10),7,H67))</f>
        <v>#N/A</v>
      </c>
      <c r="J67" s="951" t="s">
        <v>346</v>
      </c>
    </row>
    <row r="68" spans="1:18" ht="16.5" customHeight="1">
      <c r="A68" s="269"/>
      <c r="B68" s="659" t="s">
        <v>349</v>
      </c>
      <c r="C68" s="1034" t="str">
        <f>WI!B39</f>
        <v>What is the frequency of in-situ flow accuracy testing?</v>
      </c>
      <c r="D68" s="404"/>
      <c r="E68" s="870" t="str">
        <f t="shared" si="5"/>
        <v/>
      </c>
      <c r="F68" s="402"/>
      <c r="G68" s="951" t="str">
        <f>IFERROR(IF(H63&lt;7,1,IF(LEN(D68)&gt;0,1,0)),"")</f>
        <v/>
      </c>
      <c r="H68" s="959" t="e">
        <f>VLOOKUP('Interactive Data Grading'!D68,WI!$G$6:$M$16,7,FALSE)</f>
        <v>#N/A</v>
      </c>
      <c r="I68" s="960" t="e">
        <f>IF(AND(H65&gt;=7,H68&gt;=7),MAX(H68,9),IF(AND(H65&gt;3,H65&lt;7,H68&gt;3,H68&lt;7),MAX(H65,H68),IF(H65&gt;=7,MAX(7,H68),H68)))</f>
        <v>#N/A</v>
      </c>
    </row>
    <row r="69" spans="1:18" ht="20.45" customHeight="1">
      <c r="A69" s="269"/>
      <c r="B69" s="659" t="s">
        <v>350</v>
      </c>
      <c r="C69" s="1034" t="str">
        <f>WI!B40</f>
        <v>Is the most recent in-situ flow accuracy testing documentation available?</v>
      </c>
      <c r="D69" s="404"/>
      <c r="E69" s="870" t="str">
        <f t="shared" si="5"/>
        <v/>
      </c>
      <c r="F69" s="402"/>
      <c r="G69" s="951" t="str">
        <f>IFERROR(IF(H63&lt;7,1,IF(D68=WI!G23,1,IF(LEN(D69)&gt;0,1,0))),"")</f>
        <v/>
      </c>
      <c r="H69" s="959" t="e">
        <f>VLOOKUP('Interactive Data Grading'!D69,WI!$H$6:$M$16,6,FALSE)</f>
        <v>#N/A</v>
      </c>
      <c r="I69" s="960" t="e">
        <f>IF(D68=WI!G23,X,IF(AND(H69=5,H67=10),7,H69))</f>
        <v>#N/A</v>
      </c>
      <c r="J69" s="951" t="s">
        <v>348</v>
      </c>
    </row>
    <row r="70" spans="1:18" ht="27" customHeight="1">
      <c r="A70" s="269"/>
      <c r="B70" s="659" t="s">
        <v>351</v>
      </c>
      <c r="C70" s="1036" t="str">
        <f>WI!B41</f>
        <v>What are the total volume-weighted average results of in-situ flow accuracy testing (during or closest to audit year)?</v>
      </c>
      <c r="D70" s="404"/>
      <c r="E70" s="870" t="str">
        <f t="shared" si="5"/>
        <v/>
      </c>
      <c r="F70" s="402"/>
      <c r="G70" s="951" t="str">
        <f>IFERROR(IF(H63&lt;7,1,IF(OR(D68=WI!G23,D69=WI!H23),1,IF(LEN(D70)&gt;0,1,0))),"")</f>
        <v/>
      </c>
      <c r="H70" s="959" t="e">
        <f>VLOOKUP('Interactive Data Grading'!D70,WI!$I$6:$M$16,5,FALSE)</f>
        <v>#N/A</v>
      </c>
      <c r="I70" s="960" t="e">
        <f>IF(OR(D68=WI!G23,D69=WI!H23),X,H70)</f>
        <v>#N/A</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c r="E71" s="870" t="str">
        <f t="shared" si="5"/>
        <v/>
      </c>
      <c r="F71" s="402"/>
      <c r="G71" s="951" t="str">
        <f>IFERROR(IF(H63&lt;7,1,IF(AND(OR(D65=WI!D23,D65=WI!D27),D68=WI!G23),1,IF(LEN(D71)&gt;0,1,0))),"")</f>
        <v/>
      </c>
      <c r="H71" s="959" t="e">
        <f>VLOOKUP('Interactive Data Grading'!D71,WI!$J$6:$M$16,4,FALSE)</f>
        <v>#N/A</v>
      </c>
      <c r="I71" s="960" t="e">
        <f>IF(OR(D68=WI!G23,D69=WI!H23),X,H71)</f>
        <v>#N/A</v>
      </c>
      <c r="J71" s="961" t="s">
        <v>812</v>
      </c>
    </row>
    <row r="72" spans="1:18" ht="25.5" customHeight="1">
      <c r="A72" s="269"/>
      <c r="B72" s="659" t="s">
        <v>353</v>
      </c>
      <c r="C72" s="1034" t="str">
        <f>WI!B43</f>
        <v>Which best describes the frequency of meter readings (data collection frequency as opposed to billing frequency)?</v>
      </c>
      <c r="D72" s="404"/>
      <c r="E72" s="870" t="str">
        <f t="shared" si="5"/>
        <v/>
      </c>
      <c r="F72" s="402"/>
      <c r="G72" s="951" t="str">
        <f>IFERROR(IF(H63&lt;7,1,IF(LEN(D72)&gt;0,1,0)),"")</f>
        <v/>
      </c>
      <c r="H72" s="959" t="e">
        <f>VLOOKUP('Interactive Data Grading'!D72,WI!$K$6:$M$16,3,FALSE)</f>
        <v>#N/A</v>
      </c>
      <c r="I72" s="959" t="e">
        <f>H72</f>
        <v>#N/A</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c r="E73" s="870" t="str">
        <f t="shared" si="5"/>
        <v/>
      </c>
      <c r="F73" s="402"/>
      <c r="G73" s="951" t="str">
        <f>IFERROR(IF(H63&lt;7,1,IF(LEN(D73)&gt;0,1,0)),"")</f>
        <v/>
      </c>
      <c r="H73" s="959" t="e">
        <f>VLOOKUP('Interactive Data Grading'!D73,WI!$L$6:$M$16,2,FALSE)</f>
        <v>#N/A</v>
      </c>
      <c r="I73" s="959" t="e">
        <f>H73</f>
        <v>#N/A</v>
      </c>
    </row>
    <row r="74" spans="1:18" ht="27.6" customHeight="1">
      <c r="A74" s="269"/>
      <c r="B74" s="269"/>
      <c r="C74" s="403" t="s">
        <v>313</v>
      </c>
      <c r="D74" s="873" t="str">
        <f>IF(D62="","",IF(D62="No","n/a",IF(G74=0,"",IF(R8=0,H63,I74))))</f>
        <v/>
      </c>
      <c r="E74" s="870"/>
      <c r="F74" s="402"/>
      <c r="G74" s="951">
        <f>MIN(G63:G73)</f>
        <v>0</v>
      </c>
      <c r="H74" s="962" t="e">
        <f>MIN(H63:H73)</f>
        <v>#N/A</v>
      </c>
      <c r="I74" s="962">
        <f t="array" ref="I74">MIN(IF(ISNUMBER(I63:I73),I63:I73))</f>
        <v>0</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45" t="s">
        <v>1135</v>
      </c>
      <c r="B89" s="1246"/>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c r="E92" s="870" t="str">
        <f>IFERROR(IF(OR($D$96="",$H92=10,NOT(ISNUMBER($H92))),"",IF(H92=$H$96,"Limiting","")),"")</f>
        <v/>
      </c>
      <c r="F92" s="402"/>
      <c r="G92" s="965">
        <f t="shared" ref="G92" si="6">IF(LEN(D92)&gt;0,1,0)</f>
        <v>0</v>
      </c>
      <c r="H92" s="959" t="e">
        <f>VLOOKUP('Interactive Data Grading'!D92,WIEA!$C$6:$G$16,5,FALSE)</f>
        <v>#N/A</v>
      </c>
      <c r="I92" s="958"/>
    </row>
    <row r="93" spans="1:18" ht="27.6" customHeight="1">
      <c r="A93" s="269"/>
      <c r="B93" s="659" t="s">
        <v>361</v>
      </c>
      <c r="C93" s="1034" t="str">
        <f>WIEA!B35</f>
        <v>Are meter accuracy testing or electronic calibration requirements stipulated in the water purchase agreement?</v>
      </c>
      <c r="D93" s="404"/>
      <c r="E93" s="870" t="str">
        <f t="shared" ref="E93:E95" si="7">IFERROR(IF(OR($D$96="",$H93=10,NOT(ISNUMBER($H93))),"",IF(H93=$H$96,"Limiting","")),"")</f>
        <v/>
      </c>
      <c r="F93" s="402"/>
      <c r="G93" s="965">
        <f>IF(OR(LEN(D93)&gt;0,D92=WIEA!$C$23),1,0)</f>
        <v>0</v>
      </c>
      <c r="H93" s="959" t="e">
        <f>VLOOKUP('Interactive Data Grading'!D93,WIEA!$D$6:$G$16,4,FALSE)</f>
        <v>#N/A</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c r="E94" s="870" t="str">
        <f t="shared" si="7"/>
        <v/>
      </c>
      <c r="F94" s="402"/>
      <c r="G94" s="965">
        <f t="shared" ref="G94:G95" si="8">IF(LEN(D94)&gt;0,1,0)</f>
        <v>0</v>
      </c>
      <c r="H94" s="959" t="e">
        <f>VLOOKUP('Interactive Data Grading'!D94,WIEA!$E$6:$G$16,3,FALSE)</f>
        <v>#N/A</v>
      </c>
      <c r="I94" s="958"/>
    </row>
    <row r="95" spans="1:18" ht="27.6" customHeight="1">
      <c r="A95" s="269"/>
      <c r="B95" s="659" t="s">
        <v>363</v>
      </c>
      <c r="C95" s="1034" t="str">
        <f>WIEA!B37</f>
        <v>Who has access to the import meter readings including current and archived data?</v>
      </c>
      <c r="D95" s="404"/>
      <c r="E95" s="870" t="str">
        <f t="shared" si="7"/>
        <v/>
      </c>
      <c r="F95" s="402"/>
      <c r="G95" s="965">
        <f t="shared" si="8"/>
        <v>0</v>
      </c>
      <c r="H95" s="959" t="e">
        <f>VLOOKUP('Interactive Data Grading'!D95,WIEA!$F$6:$G$16,2,FALSE)</f>
        <v>#N/A</v>
      </c>
      <c r="I95" s="958"/>
    </row>
    <row r="96" spans="1:18" ht="27.6" customHeight="1">
      <c r="A96" s="269"/>
      <c r="B96" s="269"/>
      <c r="C96" s="403" t="s">
        <v>313</v>
      </c>
      <c r="D96" s="1045" t="str">
        <f>IF(D62="No","n/a",IF(G96=0,"",H96))</f>
        <v/>
      </c>
      <c r="E96" s="870"/>
      <c r="F96" s="402"/>
      <c r="G96" s="965">
        <f>MIN(G92:G95)</f>
        <v>0</v>
      </c>
      <c r="H96" s="962">
        <f t="array" ref="H96">MIN(IF(ISNUMBER(H92:H95),H92:H95))</f>
        <v>0</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45" t="s">
        <v>1135</v>
      </c>
      <c r="B112" s="1246"/>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44" t="str">
        <f>IF(OR(AND(D115="Yes",Worksheet!H17&gt;0),AND(D115="No",Worksheet!H17&lt;=0),LEN(D115)=0),"","Inconsistency between Worksheet WE input and we.0 response")</f>
        <v/>
      </c>
      <c r="D113" s="1244"/>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c r="E115" s="870"/>
      <c r="F115" s="402"/>
      <c r="H115" s="951" t="s">
        <v>528</v>
      </c>
      <c r="I115" s="958"/>
      <c r="J115" s="951" t="s">
        <v>791</v>
      </c>
    </row>
    <row r="116" spans="1:18" ht="17.45" customHeight="1">
      <c r="A116" s="269"/>
      <c r="B116" s="269" t="s">
        <v>379</v>
      </c>
      <c r="C116" s="1034" t="str">
        <f>WE!B35</f>
        <v>What percent of water exported is metered?</v>
      </c>
      <c r="D116" s="404"/>
      <c r="E116" s="870" t="str">
        <f>IF(OR(D127=10,NOT(ISNUMBER(D127))),"",IF(I116=I127,"Limiting",IF(VLOOKUP(D116,$P$7:$Q$15,2,FALSE)=0,"Limiting","")))</f>
        <v/>
      </c>
      <c r="F116" s="402"/>
      <c r="G116" s="951">
        <f>IF(LEN(D116)&gt;0,1,0)</f>
        <v>0</v>
      </c>
      <c r="H116" s="959" t="e">
        <f>VLOOKUP('Interactive Data Grading'!D116,WE!$C$6:$M$16,11,FALSE)</f>
        <v>#N/A</v>
      </c>
      <c r="I116" s="959" t="e">
        <f>H116</f>
        <v>#N/A</v>
      </c>
    </row>
    <row r="117" spans="1:18" ht="67.150000000000006" customHeight="1">
      <c r="A117" s="269"/>
      <c r="C117" s="1242" t="s">
        <v>1235</v>
      </c>
      <c r="D117" s="1243"/>
      <c r="E117" s="870"/>
      <c r="F117" s="402"/>
      <c r="H117" s="959"/>
      <c r="I117" s="960"/>
    </row>
    <row r="118" spans="1:18" ht="18" customHeight="1">
      <c r="A118" s="269"/>
      <c r="B118" s="269" t="s">
        <v>380</v>
      </c>
      <c r="C118" s="1034" t="str">
        <f>WE!B36</f>
        <v>What is the frequency of electronic calibration?</v>
      </c>
      <c r="D118" s="404"/>
      <c r="E118" s="870" t="str">
        <f>IFERROR(IF(OR($D$127=10,NOT(ISNUMBER($D$127))),"",IF(I118=$I$127,"Limiting","")),"")</f>
        <v/>
      </c>
      <c r="F118" s="402"/>
      <c r="G118" s="951" t="str">
        <f>IFERROR(IF(H116&lt;7,1,IF(LEN(D118)&gt;0,1,0)),"")</f>
        <v/>
      </c>
      <c r="H118" s="959" t="e">
        <f>VLOOKUP('Interactive Data Grading'!D118,WE!$D$6:$M$16,10,FALSE)</f>
        <v>#N/A</v>
      </c>
      <c r="I118" s="960" t="e">
        <f>IF(AND(H118&gt;=7,H121&gt;=7),MAX(H118,9),IF(AND(H118&gt;3,H118&lt;7,H121&gt;3,H121&lt;7),MAX(H118,H121),IF(H121&gt;=7,MAX(7,H118),H118)))</f>
        <v>#N/A</v>
      </c>
    </row>
    <row r="119" spans="1:18" ht="25.9" customHeight="1">
      <c r="A119" s="269"/>
      <c r="B119" s="269" t="s">
        <v>381</v>
      </c>
      <c r="C119" s="1034" t="str">
        <f>WE!B37</f>
        <v>What level of data transfer errors are checked as part of the electronic calibration process?</v>
      </c>
      <c r="D119" s="409"/>
      <c r="E119" s="870" t="str">
        <f t="shared" ref="E119:E126" si="9">IFERROR(IF(OR($D$127=10,NOT(ISNUMBER($D$127))),"",IF(I119=$I$127,"Limiting","")),"")</f>
        <v/>
      </c>
      <c r="F119" s="402"/>
      <c r="G119" s="961" t="str">
        <f>IFERROR(IF(H116&lt;7,1,IF(OR(D118=WE!D23,D118=WE!D27),1,IF(LEN(D119)&gt;0,1,0))),"")</f>
        <v/>
      </c>
      <c r="H119" s="959" t="e">
        <f>VLOOKUP('Interactive Data Grading'!D119,WE!$E$6:$M$16,9,FALSE)</f>
        <v>#N/A</v>
      </c>
      <c r="I119" s="959" t="e">
        <f>H119</f>
        <v>#N/A</v>
      </c>
      <c r="J119" s="951" t="s">
        <v>815</v>
      </c>
    </row>
    <row r="120" spans="1:18" ht="18" customHeight="1">
      <c r="A120" s="269"/>
      <c r="B120" s="269" t="s">
        <v>382</v>
      </c>
      <c r="C120" s="1034" t="str">
        <f>WE!B38</f>
        <v>Is the most recent electronic calibration documentation available?</v>
      </c>
      <c r="D120" s="404"/>
      <c r="E120" s="870" t="str">
        <f t="shared" si="9"/>
        <v/>
      </c>
      <c r="F120" s="402"/>
      <c r="G120" s="951" t="str">
        <f>IFERROR(IF(H116&lt;7,1,IF(OR(D118=WE!D23,D118=WE!D27),1,IF(LEN(D120)&gt;0,1,0))),"")</f>
        <v/>
      </c>
      <c r="H120" s="959" t="e">
        <f>VLOOKUP('Interactive Data Grading'!D120,WE!$F$6:$M$16,8,FALSE)</f>
        <v>#N/A</v>
      </c>
      <c r="I120" s="960" t="e">
        <f>IF(D118=WE!D23,X,IF(AND(H120=5,H122=10),7,H120))</f>
        <v>#N/A</v>
      </c>
      <c r="J120" s="951" t="s">
        <v>380</v>
      </c>
    </row>
    <row r="121" spans="1:18" ht="16.149999999999999" customHeight="1">
      <c r="A121" s="269"/>
      <c r="B121" s="269" t="s">
        <v>383</v>
      </c>
      <c r="C121" s="1034" t="str">
        <f>WE!B39</f>
        <v>What is the frequency of in-situ flow accuracy testing?</v>
      </c>
      <c r="D121" s="404"/>
      <c r="E121" s="870" t="str">
        <f t="shared" si="9"/>
        <v/>
      </c>
      <c r="F121" s="402"/>
      <c r="G121" s="951" t="str">
        <f>IFERROR(IF(H116&lt;7,1,IF(LEN(D121)&gt;0,1,0)),"")</f>
        <v/>
      </c>
      <c r="H121" s="959" t="e">
        <f>VLOOKUP('Interactive Data Grading'!D121,WE!$G$6:$M$16,7,FALSE)</f>
        <v>#N/A</v>
      </c>
      <c r="I121" s="960" t="e">
        <f>IF(AND(H118&gt;=7,H121&gt;=7),MAX(H121,9),IF(AND(H118&gt;3,H118&lt;7,H121&gt;3,H121&lt;7),MAX(H118,H121),IF(H118&gt;=7,MAX(7,H121),H121)))</f>
        <v>#N/A</v>
      </c>
    </row>
    <row r="122" spans="1:18" ht="19.899999999999999" customHeight="1">
      <c r="A122" s="269"/>
      <c r="B122" s="269" t="s">
        <v>384</v>
      </c>
      <c r="C122" s="1034" t="str">
        <f>WE!B40</f>
        <v>Is the most recent in-situ flow accuracy testing documentation available?</v>
      </c>
      <c r="D122" s="404"/>
      <c r="E122" s="870" t="str">
        <f t="shared" si="9"/>
        <v/>
      </c>
      <c r="F122" s="402"/>
      <c r="G122" s="951" t="str">
        <f>IFERROR(IF(H116&lt;7,1,IF(D121=WE!G23,1,IF(LEN(D122)&gt;0,1,0))),"")</f>
        <v/>
      </c>
      <c r="H122" s="959" t="e">
        <f>VLOOKUP('Interactive Data Grading'!D122,WE!$H$6:$M$16,6,FALSE)</f>
        <v>#N/A</v>
      </c>
      <c r="I122" s="960" t="e">
        <f>IF(D121=WE!G23,X,IF(AND(H122=5,H120=10),7,H122))</f>
        <v>#N/A</v>
      </c>
      <c r="J122" s="951" t="s">
        <v>382</v>
      </c>
    </row>
    <row r="123" spans="1:18" ht="27" customHeight="1">
      <c r="A123" s="269"/>
      <c r="B123" s="269" t="s">
        <v>385</v>
      </c>
      <c r="C123" s="1034" t="str">
        <f>WE!B41</f>
        <v>What are the total volume-weighted average results of in-situ flow accuracy testing (during or closest to audit year)?</v>
      </c>
      <c r="D123" s="404"/>
      <c r="E123" s="870" t="str">
        <f t="shared" si="9"/>
        <v/>
      </c>
      <c r="F123" s="402"/>
      <c r="G123" s="951" t="str">
        <f>IFERROR(IF(H116&lt;7,1,IF(OR(D121=WE!G23,D122=WE!H23),1,IF(LEN(D123)&gt;0,1,0))),"")</f>
        <v/>
      </c>
      <c r="H123" s="959" t="e">
        <f>VLOOKUP('Interactive Data Grading'!D123,WE!$I$6:$M$16,5,FALSE)</f>
        <v>#N/A</v>
      </c>
      <c r="I123" s="959" t="e">
        <f>IF(OR(D121=WE!G23,D122=WE!H23),X,H123)</f>
        <v>#N/A</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c r="E124" s="870" t="str">
        <f t="shared" si="9"/>
        <v/>
      </c>
      <c r="F124" s="402"/>
      <c r="G124" s="951" t="str">
        <f>IFERROR(IF(H116&lt;7,1,IF(AND(OR(D118=WE!D23,D118=WE!D27),D121=WE!G23),1,IF(LEN(D124)&gt;0,1,0))),"")</f>
        <v/>
      </c>
      <c r="H124" s="959" t="e">
        <f>VLOOKUP('Interactive Data Grading'!D124,WE!$J$6:$M$16,4,FALSE)</f>
        <v>#N/A</v>
      </c>
      <c r="I124" s="959" t="e">
        <f>IF(OR(D121=WE!G23,D122=WE!H23),X,H124)</f>
        <v>#N/A</v>
      </c>
      <c r="J124" s="961" t="s">
        <v>817</v>
      </c>
    </row>
    <row r="125" spans="1:18" ht="25.15" customHeight="1">
      <c r="A125" s="269"/>
      <c r="B125" s="269" t="s">
        <v>387</v>
      </c>
      <c r="C125" s="1034" t="str">
        <f>WE!B43</f>
        <v>Which best describes the frequency of meter readings (data collection frequency as opposed to billing frequency)?</v>
      </c>
      <c r="D125" s="404"/>
      <c r="E125" s="870" t="str">
        <f t="shared" si="9"/>
        <v/>
      </c>
      <c r="F125" s="402"/>
      <c r="G125" s="951" t="str">
        <f>IFERROR(IF(H116&lt;7,1,IF(LEN(D125)&gt;0,1,0)),"")</f>
        <v/>
      </c>
      <c r="H125" s="959" t="e">
        <f>VLOOKUP('Interactive Data Grading'!D125,WE!$K$6:$M$16,3,FALSE)</f>
        <v>#N/A</v>
      </c>
      <c r="I125" s="959" t="e">
        <f>H125</f>
        <v>#N/A</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c r="E126" s="870" t="str">
        <f t="shared" si="9"/>
        <v/>
      </c>
      <c r="F126" s="402"/>
      <c r="G126" s="951" t="str">
        <f>IFERROR(IF(H116&lt;7,1,IF(LEN(D126)&gt;0,1,0)),"")</f>
        <v/>
      </c>
      <c r="H126" s="959" t="e">
        <f>VLOOKUP('Interactive Data Grading'!D126,WE!$L$6:$M$16,2,FALSE)</f>
        <v>#N/A</v>
      </c>
      <c r="I126" s="959" t="e">
        <f>H126</f>
        <v>#N/A</v>
      </c>
    </row>
    <row r="127" spans="1:18" ht="27.6" customHeight="1">
      <c r="A127" s="269"/>
      <c r="B127" s="269"/>
      <c r="C127" s="403" t="s">
        <v>313</v>
      </c>
      <c r="D127" s="873" t="str">
        <f>IF(D115="","",IF(D115="No","n/a",IF(G127=0,"",IF(R9=0,H116,I127))))</f>
        <v/>
      </c>
      <c r="E127" s="870"/>
      <c r="F127" s="402"/>
      <c r="G127" s="951">
        <f>MIN(G116:G126)</f>
        <v>0</v>
      </c>
      <c r="H127" s="962" t="e">
        <f>MIN(H116:H126)</f>
        <v>#N/A</v>
      </c>
      <c r="I127" s="962">
        <f t="array" ref="I127">MIN(IF(ISNUMBER(I116:I126),I116:I126))</f>
        <v>0</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45" t="s">
        <v>1135</v>
      </c>
      <c r="B143" s="1246"/>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c r="E146" s="870" t="str">
        <f>IFERROR(IF(OR($D$150="",$H146=10,NOT(ISNUMBER($H146))),"",IF(H146=$H$150,"Limiting","")),"")</f>
        <v/>
      </c>
      <c r="F146" s="402"/>
      <c r="G146" s="965">
        <f t="shared" ref="G146" si="10">IF(LEN(D146)&gt;0,1,0)</f>
        <v>0</v>
      </c>
      <c r="H146" s="959" t="e">
        <f>VLOOKUP('Interactive Data Grading'!D146,WEEA!$C$6:$G$16,5,FALSE)</f>
        <v>#N/A</v>
      </c>
      <c r="I146" s="959"/>
    </row>
    <row r="147" spans="1:18" ht="27.6" customHeight="1">
      <c r="A147" s="269"/>
      <c r="B147" s="659" t="s">
        <v>390</v>
      </c>
      <c r="C147" s="1034" t="str">
        <f>WEEA!B35</f>
        <v>Are meter accuracy testing or electronic calibration requirements stipulated in the water purchase agreement?</v>
      </c>
      <c r="D147" s="404"/>
      <c r="E147" s="870" t="str">
        <f t="shared" ref="E147:E149" si="11">IFERROR(IF(OR($D$150="",$H147=10,NOT(ISNUMBER($H147))),"",IF(H147=$H$150,"Limiting","")),"")</f>
        <v/>
      </c>
      <c r="F147" s="402"/>
      <c r="G147" s="965">
        <f>IF(OR(LEN(D147)&gt;0,D146=WEEA!$C$23),1,0)</f>
        <v>0</v>
      </c>
      <c r="H147" s="959" t="e">
        <f>VLOOKUP('Interactive Data Grading'!D147,WEEA!$D$6:$G$16,4,FALSE)</f>
        <v>#N/A</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c r="E148" s="870" t="str">
        <f t="shared" si="11"/>
        <v/>
      </c>
      <c r="F148" s="402"/>
      <c r="G148" s="965">
        <f t="shared" ref="G148:G149" si="12">IF(LEN(D148)&gt;0,1,0)</f>
        <v>0</v>
      </c>
      <c r="H148" s="959" t="e">
        <f>VLOOKUP('Interactive Data Grading'!D148,WEEA!$E$6:$G$16,3,FALSE)</f>
        <v>#N/A</v>
      </c>
      <c r="I148" s="960"/>
    </row>
    <row r="149" spans="1:18" ht="27.6" customHeight="1">
      <c r="A149" s="269"/>
      <c r="B149" s="659" t="s">
        <v>392</v>
      </c>
      <c r="C149" s="1034" t="str">
        <f>WEEA!B37</f>
        <v>Who has access to the import meter readings including current and archived data?</v>
      </c>
      <c r="D149" s="404"/>
      <c r="E149" s="870" t="str">
        <f t="shared" si="11"/>
        <v/>
      </c>
      <c r="F149" s="402"/>
      <c r="G149" s="965">
        <f t="shared" si="12"/>
        <v>0</v>
      </c>
      <c r="H149" s="959" t="e">
        <f>VLOOKUP('Interactive Data Grading'!D149,WEEA!$F$6:$G$16,2,FALSE)</f>
        <v>#N/A</v>
      </c>
      <c r="I149" s="960"/>
    </row>
    <row r="150" spans="1:18" ht="27.6" customHeight="1">
      <c r="A150" s="269"/>
      <c r="B150" s="269"/>
      <c r="C150" s="403" t="s">
        <v>313</v>
      </c>
      <c r="D150" s="1045" t="str">
        <f>IF(D115="No","n/a",IF(G150=0,"",H150))</f>
        <v/>
      </c>
      <c r="E150" s="870"/>
      <c r="F150" s="402"/>
      <c r="G150" s="965">
        <f>MIN(G146:G149)</f>
        <v>0</v>
      </c>
      <c r="H150" s="962">
        <f t="array" ref="H150">MIN(IF(ISNUMBER(H146:H149),H146:H149))</f>
        <v>0</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45" t="s">
        <v>1135</v>
      </c>
      <c r="B166" s="1246"/>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44" t="str">
        <f>IF(OR(AND(D169="Yes",Worksheet!H23&gt;0),AND(D169="No",Worksheet!H23&lt;=0),LEN(D169)=0),"","Inconsistency between Worksheet BMAC input and bmac.0 response")</f>
        <v/>
      </c>
      <c r="D167" s="1244"/>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c r="E169" s="870"/>
      <c r="F169" s="402"/>
      <c r="H169" s="951" t="e">
        <f>IF(D169="",X,"")</f>
        <v>#NAME?</v>
      </c>
      <c r="I169" s="958"/>
      <c r="J169" s="951" t="s">
        <v>826</v>
      </c>
    </row>
    <row r="170" spans="1:18" ht="23.1" customHeight="1">
      <c r="A170" s="269"/>
      <c r="B170" s="659" t="s">
        <v>402</v>
      </c>
      <c r="C170" s="1034" t="str">
        <f>BMAC!B35</f>
        <v>For billed metered accounts, what % of bills are estimated in a typical billing cycle?</v>
      </c>
      <c r="D170" s="404"/>
      <c r="E170" s="870" t="str">
        <f t="shared" ref="E170:E176" si="13">IFERROR(IF(OR($D$177=10,NOT(ISNUMBER($D$177))),"",IF(I170=$I$177,"Limiting","")),"")</f>
        <v/>
      </c>
      <c r="F170" s="402"/>
      <c r="G170" s="952">
        <f>IF($D$169="No",1,IF(LEN(D170)&gt;0,1,0))</f>
        <v>0</v>
      </c>
      <c r="H170" s="966" t="e">
        <f>VLOOKUP('Interactive Data Grading'!D170,BMAC!$C$6:$J$15,8,FALSE)</f>
        <v>#N/A</v>
      </c>
      <c r="I170" s="966" t="e">
        <f>H170</f>
        <v>#N/A</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c r="E171" s="870" t="str">
        <f t="shared" si="13"/>
        <v/>
      </c>
      <c r="F171" s="402"/>
      <c r="G171" s="952">
        <f t="shared" ref="G171:G175" si="14">IF($D$169="No",1,IF(LEN(D171)&gt;0,1,0))</f>
        <v>0</v>
      </c>
      <c r="H171" s="966" t="e">
        <f>VLOOKUP('Interactive Data Grading'!D171,BMAC!$D$6:$J$15,7,FALSE)</f>
        <v>#N/A</v>
      </c>
      <c r="I171" s="966" t="e">
        <f t="shared" ref="I171:I175" si="15">H171</f>
        <v>#N/A</v>
      </c>
    </row>
    <row r="172" spans="1:18" ht="22.15" customHeight="1">
      <c r="A172" s="269"/>
      <c r="B172" s="659" t="s">
        <v>404</v>
      </c>
      <c r="C172" s="1034" t="str">
        <f>BMAC!B37</f>
        <v>Is the BMAC volume pro-rated to represent consumption occuring exactly during the audit period?</v>
      </c>
      <c r="D172" s="404"/>
      <c r="E172" s="870" t="str">
        <f t="shared" si="13"/>
        <v/>
      </c>
      <c r="F172" s="402"/>
      <c r="G172" s="952">
        <f t="shared" si="14"/>
        <v>0</v>
      </c>
      <c r="H172" s="966" t="e">
        <f>VLOOKUP('Interactive Data Grading'!D172,BMAC!$E$6:$J$15,6,FALSE)</f>
        <v>#N/A</v>
      </c>
      <c r="I172" s="966" t="e">
        <f t="shared" si="15"/>
        <v>#N/A</v>
      </c>
    </row>
    <row r="173" spans="1:18" ht="20.100000000000001" customHeight="1">
      <c r="A173" s="269"/>
      <c r="B173" s="659" t="s">
        <v>405</v>
      </c>
      <c r="C173" s="1034" t="str">
        <f>BMAC!B38</f>
        <v>How frequently does internal review by utility staff of the BMAC volumes occur?</v>
      </c>
      <c r="D173" s="404"/>
      <c r="E173" s="870" t="str">
        <f t="shared" si="13"/>
        <v/>
      </c>
      <c r="F173" s="402"/>
      <c r="G173" s="952">
        <f t="shared" si="14"/>
        <v>0</v>
      </c>
      <c r="H173" s="966" t="e">
        <f>VLOOKUP('Interactive Data Grading'!D173,BMAC!$F$6:$J$15,5,FALSE)</f>
        <v>#N/A</v>
      </c>
      <c r="I173" s="966" t="e">
        <f t="shared" si="15"/>
        <v>#N/A</v>
      </c>
    </row>
    <row r="174" spans="1:18" ht="20.100000000000001" customHeight="1">
      <c r="A174" s="269"/>
      <c r="B174" s="659" t="s">
        <v>406</v>
      </c>
      <c r="C174" s="1034" t="str">
        <f>BMAC!B39</f>
        <v>What level of detail is examined in the internal review of BMAC volumes?</v>
      </c>
      <c r="D174" s="404"/>
      <c r="E174" s="870" t="str">
        <f t="shared" si="13"/>
        <v/>
      </c>
      <c r="F174" s="402"/>
      <c r="G174" s="952">
        <f>IF(OR($D$169="No",D173=BMAC!F23),1,IF(LEN(D174)&gt;0,1,0))</f>
        <v>0</v>
      </c>
      <c r="H174" s="966" t="e">
        <f>VLOOKUP('Interactive Data Grading'!D174,BMAC!$G$6:$J$15,4,FALSE)</f>
        <v>#N/A</v>
      </c>
      <c r="I174" s="966" t="e">
        <f>IF(D173=BMAC!F23,X,H174)</f>
        <v>#N/A</v>
      </c>
      <c r="J174" s="951" t="s">
        <v>405</v>
      </c>
    </row>
    <row r="175" spans="1:18" ht="22.9" customHeight="1">
      <c r="A175" s="269"/>
      <c r="B175" s="659" t="s">
        <v>407</v>
      </c>
      <c r="C175" s="1034" t="str">
        <f>BMAC!B40</f>
        <v>When was the most recent billing data review by someone who is independent of the utility billing process?</v>
      </c>
      <c r="D175" s="404"/>
      <c r="E175" s="870" t="str">
        <f t="shared" si="13"/>
        <v/>
      </c>
      <c r="F175" s="402"/>
      <c r="G175" s="952">
        <f t="shared" si="14"/>
        <v>0</v>
      </c>
      <c r="H175" s="966" t="e">
        <f>VLOOKUP('Interactive Data Grading'!D175,BMAC!$H$6:$J$15,3,FALSE)</f>
        <v>#N/A</v>
      </c>
      <c r="I175" s="966" t="e">
        <f t="shared" si="15"/>
        <v>#N/A</v>
      </c>
    </row>
    <row r="176" spans="1:18" ht="22.9" customHeight="1">
      <c r="A176" s="269"/>
      <c r="B176" s="659" t="s">
        <v>408</v>
      </c>
      <c r="C176" s="1034" t="str">
        <f>BMAC!B41</f>
        <v>What level of detail was examined in the review by someone who is independent of the utility billing process?</v>
      </c>
      <c r="D176" s="404"/>
      <c r="E176" s="870" t="str">
        <f t="shared" si="13"/>
        <v/>
      </c>
      <c r="F176" s="402"/>
      <c r="G176" s="952">
        <f>IF(OR($D$169="No",D175=BMAC!H23),1,IF(LEN(D176)&gt;0,1,0))</f>
        <v>0</v>
      </c>
      <c r="H176" s="966" t="e">
        <f>VLOOKUP('Interactive Data Grading'!D176,BMAC!$I$6:$J$15,2,FALSE)</f>
        <v>#N/A</v>
      </c>
      <c r="I176" s="966" t="e">
        <f>IF(D175=BMAC!H23,X,H176)</f>
        <v>#N/A</v>
      </c>
      <c r="J176" s="951" t="s">
        <v>407</v>
      </c>
    </row>
    <row r="177" spans="1:18" ht="27.6" customHeight="1">
      <c r="A177" s="269"/>
      <c r="B177" s="269"/>
      <c r="C177" s="403" t="s">
        <v>313</v>
      </c>
      <c r="D177" s="873" t="str">
        <f>IF(D169="","",IF(D169="No","n/a",IF(G177=0,"",I177)))</f>
        <v/>
      </c>
      <c r="E177" s="870"/>
      <c r="F177" s="402"/>
      <c r="G177" s="952">
        <f>MIN(G170:G176)</f>
        <v>0</v>
      </c>
      <c r="H177" s="962" t="e">
        <f>MIN(H169:H176)</f>
        <v>#NAME?</v>
      </c>
      <c r="I177" s="962">
        <f t="array" ref="I177">MIN(IF(ISNUMBER(I168:I176),I168:I176))</f>
        <v>0</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45" t="s">
        <v>1135</v>
      </c>
      <c r="B193" s="1246"/>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44" t="str">
        <f>IF(OR(AND(D196="Yes",Worksheet!H24&gt;0),AND(D196="No",Worksheet!H24&lt;=0),LEN(D196)=0),"","Inconsistency between Worksheet BUAC input and buac.0 response")</f>
        <v/>
      </c>
      <c r="D194" s="1244"/>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c r="E196" s="870"/>
      <c r="F196" s="402"/>
      <c r="H196" s="951" t="e">
        <f>IF(D196="",X,"")</f>
        <v>#NAME?</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
      </c>
      <c r="E200" s="870"/>
      <c r="F200" s="402"/>
      <c r="H200" s="962" t="e">
        <f>MIN(H196:H199)</f>
        <v>#NAME?</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45" t="s">
        <v>1135</v>
      </c>
      <c r="B216" s="1246"/>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44" t="str">
        <f>IF(OR(AND(D219="Yes",Worksheet!H25&gt;0),AND(D219="No",Worksheet!H25&lt;=0),LEN(D219)=0),"","Inconsistency between Worksheet UMAC input and umac.0 response")</f>
        <v/>
      </c>
      <c r="D217" s="1244"/>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c r="E219" s="870"/>
      <c r="F219" s="402"/>
      <c r="H219" s="951" t="e">
        <f>IF(D219="",X,"")</f>
        <v>#NAME?</v>
      </c>
      <c r="I219" s="958"/>
      <c r="J219" s="951" t="s">
        <v>826</v>
      </c>
    </row>
    <row r="220" spans="1:18" ht="27.6" customHeight="1">
      <c r="A220" s="269"/>
      <c r="B220" s="659" t="s">
        <v>454</v>
      </c>
      <c r="C220" s="1034" t="str">
        <f>UMAC!B35</f>
        <v>Does the water utility policy articulate which accounts are exempt from billing?</v>
      </c>
      <c r="D220" s="404"/>
      <c r="E220" s="870" t="str">
        <f>IF(OR($D$224=10,$D$224="n/a"),"",IFERROR(IF(H220=MIN($H$220:$H$223),"Limiting",""),""))</f>
        <v/>
      </c>
      <c r="F220" s="402"/>
      <c r="H220" s="959" t="e">
        <f>VLOOKUP('Interactive Data Grading'!D220,UMAC!$C$6:$G$15,5,FALSE)</f>
        <v>#N/A</v>
      </c>
      <c r="I220" s="959"/>
    </row>
    <row r="221" spans="1:18" ht="27.6" customHeight="1">
      <c r="A221" s="269"/>
      <c r="B221" s="659" t="s">
        <v>455</v>
      </c>
      <c r="C221" s="1034" t="str">
        <f>UMAC!B36</f>
        <v>How many unbilled metered accounts exist?</v>
      </c>
      <c r="D221" s="404"/>
      <c r="E221" s="870" t="str">
        <f>IF(OR($D$224=10,$D$224="n/a"),"",IFERROR(IF(H221=MIN($H$220:$H$223),"Limiting",""),""))</f>
        <v/>
      </c>
      <c r="F221" s="402"/>
      <c r="H221" s="959" t="e">
        <f>VLOOKUP('Interactive Data Grading'!D221,UMAC!$D$6:$G$15,4,FALSE)</f>
        <v>#N/A</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c r="E222" s="870" t="str">
        <f>IF(OR($D$224=10,$D$224="n/a"),"",IFERROR(IF(H222=MIN($H$220:$H$223),"Limiting",""),""))</f>
        <v/>
      </c>
      <c r="F222" s="402"/>
      <c r="H222" s="959" t="e">
        <f>VLOOKUP('Interactive Data Grading'!D222,UMAC!$E$6:$G$15,3,FALSE)</f>
        <v>#N/A</v>
      </c>
      <c r="I222" s="960"/>
    </row>
    <row r="223" spans="1:18" ht="27.6" customHeight="1">
      <c r="A223" s="269"/>
      <c r="B223" s="659" t="s">
        <v>457</v>
      </c>
      <c r="C223" s="1034" t="str">
        <f>UMAC!B38</f>
        <v>How often are unbilled metered volumes reviewed for error?</v>
      </c>
      <c r="D223" s="404"/>
      <c r="E223" s="870" t="str">
        <f>IF(OR($D$224=10,$D$224="n/a"),"",IFERROR(IF(H223=MIN($H$220:$H$223),"Limiting",""),""))</f>
        <v/>
      </c>
      <c r="F223" s="402"/>
      <c r="H223" s="959" t="e">
        <f>VLOOKUP('Interactive Data Grading'!D223,UMAC!$F$6:$G$15,2,FALSE)</f>
        <v>#N/A</v>
      </c>
      <c r="I223" s="959"/>
    </row>
    <row r="224" spans="1:18" ht="27.6" customHeight="1">
      <c r="A224" s="269"/>
      <c r="B224" s="269"/>
      <c r="C224" s="403" t="s">
        <v>313</v>
      </c>
      <c r="D224" s="873" t="str">
        <f>IFERROR((IF(D219="No","n/a",H224)),"")</f>
        <v/>
      </c>
      <c r="E224" s="870"/>
      <c r="F224" s="402"/>
      <c r="H224" s="962" t="e">
        <f>MIN(H219:H223)</f>
        <v>#NAME?</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45" t="s">
        <v>1135</v>
      </c>
      <c r="B240" s="1246"/>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38" t="str">
        <f>IF(Worksheet!W26=1,"This Data Grading Criteria is hidden when the 'default' input is used on the Worksheet","")</f>
        <v>This Data Grading Criteria is hidden when the 'default' input is used on the Worksheet</v>
      </c>
      <c r="D241" s="1238"/>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Default is used because Custom Value is selected but no value has been entered</v>
      </c>
      <c r="E243" s="870"/>
      <c r="F243" s="402"/>
      <c r="I243" s="958"/>
      <c r="J243" s="951" t="s">
        <v>836</v>
      </c>
    </row>
    <row r="244" spans="1:18" ht="27.6" customHeight="1">
      <c r="A244" s="269"/>
      <c r="B244" s="659" t="s">
        <v>465</v>
      </c>
      <c r="C244" s="1034" t="str">
        <f>UUAC!B35</f>
        <v>How well-understood is the extent of unbilled unmetered use?</v>
      </c>
      <c r="D244" s="405"/>
      <c r="E244" s="870" t="str">
        <f>IF(OR($D$247=10,$D$247=3),"",IFERROR(IF(H244=MIN($H$244:$H$246),"Limiting",""),""))</f>
        <v/>
      </c>
      <c r="F244" s="402"/>
      <c r="H244" s="959" t="e">
        <f>VLOOKUP('Interactive Data Grading'!D244,UUAC!$C$6:$F$15,4,FALSE)</f>
        <v>#N/A</v>
      </c>
      <c r="I244" s="959"/>
    </row>
    <row r="245" spans="1:18" ht="27.6" customHeight="1">
      <c r="A245" s="269"/>
      <c r="B245" s="659" t="s">
        <v>466</v>
      </c>
      <c r="C245" s="1034" t="str">
        <f>UUAC!B36</f>
        <v>Which best describes the records that are kept for events of unbilled unmetered use?</v>
      </c>
      <c r="D245" s="406"/>
      <c r="E245" s="870" t="str">
        <f>IF(OR($D$247=10,$D$247=3),"",IFERROR(IF(H245=MIN($H$244:$H$246),"Limiting",""),""))</f>
        <v/>
      </c>
      <c r="F245" s="402"/>
      <c r="H245" s="959" t="e">
        <f>VLOOKUP('Interactive Data Grading'!D245,UUAC!$D$6:$F$15,3,FALSE)</f>
        <v>#N/A</v>
      </c>
      <c r="I245" s="960"/>
    </row>
    <row r="246" spans="1:18" ht="27.6" customHeight="1">
      <c r="A246" s="269"/>
      <c r="B246" s="659" t="s">
        <v>467</v>
      </c>
      <c r="C246" s="1034" t="str">
        <f>UUAC!B37</f>
        <v>How is the majority of unbilled unmetered use estimated?</v>
      </c>
      <c r="D246" s="406"/>
      <c r="E246" s="870" t="str">
        <f>IF(OR($D$247=10,$D$247=3),"",IFERROR(IF(H246=MIN($H$244:$H$246),"Limiting",""),""))</f>
        <v/>
      </c>
      <c r="F246" s="402"/>
      <c r="H246" s="959" t="e">
        <f>VLOOKUP('Interactive Data Grading'!D246,UUAC!$E$6:$F$15,2,FALSE)</f>
        <v>#N/A</v>
      </c>
      <c r="I246" s="960"/>
    </row>
    <row r="247" spans="1:18" ht="27.6" customHeight="1">
      <c r="A247" s="269"/>
      <c r="B247" s="269"/>
      <c r="C247" s="403" t="s">
        <v>313</v>
      </c>
      <c r="D247" s="1045">
        <f>IFERROR((IF(D243=UUAC!A3,3,H247)),"")</f>
        <v>3</v>
      </c>
      <c r="E247" s="870"/>
      <c r="F247" s="402"/>
      <c r="H247" s="962" t="e">
        <f>MIN(H244:H246)</f>
        <v>#N/A</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45" t="s">
        <v>1135</v>
      </c>
      <c r="B263" s="1246"/>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38" t="str">
        <f>IF(Worksheet!W39=1,"This Data Grading Criteria is hidden when the 'default' input is used on the Worksheet","")</f>
        <v>This Data Grading Criteria is hidden when the 'default' input is used on the Worksheet</v>
      </c>
      <c r="D264" s="1238"/>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37"/>
      <c r="O270" s="1237"/>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45" t="s">
        <v>1135</v>
      </c>
      <c r="B287" s="1246"/>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44" t="str">
        <f>IF(OR(AND(D290="Yes",Worksheet!Y25&gt;0),AND(D290="No",Worksheet!Y25&lt;=0),LEN(D290)=0),"","Inconsistency between Worksheet CMI input and cmi.0 response")</f>
        <v/>
      </c>
      <c r="D288" s="1244"/>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c r="E290" s="870"/>
      <c r="F290" s="402"/>
      <c r="G290" s="951">
        <f t="shared" ref="G290:G299" si="16">IF(LEN(D290)&gt;0,1,0)</f>
        <v>0</v>
      </c>
      <c r="I290" s="958"/>
      <c r="J290" s="951" t="s">
        <v>843</v>
      </c>
    </row>
    <row r="291" spans="1:18" ht="29.45" customHeight="1">
      <c r="A291" s="269"/>
      <c r="B291" s="659" t="s">
        <v>501</v>
      </c>
      <c r="C291" s="1034" t="str">
        <f>CMI!B35</f>
        <v>Do you test meters reactively (when triggered by customer complaint or billing/consumption flag)?</v>
      </c>
      <c r="D291" s="404"/>
      <c r="E291" s="870" t="str">
        <f t="shared" ref="E291:E298" si="17">IFERROR(IF(OR($D$300=10,NOT(ISNUMBER($D$300))),"",IF(H291=$H$300,"Limiting","")),"")</f>
        <v/>
      </c>
      <c r="F291" s="402"/>
      <c r="G291" s="951">
        <f>IF(LEN(D291)&gt;0,1,0)</f>
        <v>0</v>
      </c>
      <c r="H291" s="959" t="e">
        <f>VLOOKUP('Interactive Data Grading'!D291,CMI!$C$6:$J$16,8,FALSE)</f>
        <v>#N/A</v>
      </c>
      <c r="I291" s="959" t="e">
        <f>H291</f>
        <v>#N/A</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c r="E292" s="870" t="str">
        <f t="shared" si="17"/>
        <v/>
      </c>
      <c r="F292" s="402"/>
      <c r="G292" s="951">
        <f t="shared" si="16"/>
        <v>0</v>
      </c>
      <c r="H292" s="959" t="e">
        <f>VLOOKUP('Interactive Data Grading'!D292,CMI!$D$6:$J$16,7,FALSE)</f>
        <v>#N/A</v>
      </c>
      <c r="I292" s="959" t="e">
        <f>H292</f>
        <v>#N/A</v>
      </c>
      <c r="N292" s="1237"/>
      <c r="O292" s="1237"/>
    </row>
    <row r="293" spans="1:18" ht="29.45" customHeight="1">
      <c r="A293" s="269"/>
      <c r="B293" s="659" t="s">
        <v>524</v>
      </c>
      <c r="C293" s="1034" t="str">
        <f>CMI!B37</f>
        <v xml:space="preserve">Which best describes what meters are included in the proactive small size customer meter testing activities? </v>
      </c>
      <c r="D293" s="404"/>
      <c r="E293" s="870" t="str">
        <f t="shared" si="17"/>
        <v/>
      </c>
      <c r="F293" s="402"/>
      <c r="G293" s="951">
        <f>IF(OR($D$292=CMI!$D$23,$D$292=CMI!$D$24,$D$292=CMI!$D$27),1,IF(LEN(D293)&gt;0,1,0))</f>
        <v>0</v>
      </c>
      <c r="H293" s="959" t="e">
        <f>VLOOKUP('Interactive Data Grading'!D293,CMI!$E$6:$J$16,6,FALSE)</f>
        <v>#N/A</v>
      </c>
      <c r="I293" s="959" t="e">
        <f>IF(OR(D292=CMI!D23,D292=CMI!D24),X,H293)</f>
        <v>#N/A</v>
      </c>
      <c r="J293" s="951" t="s">
        <v>502</v>
      </c>
    </row>
    <row r="294" spans="1:18" ht="29.45" customHeight="1">
      <c r="A294" s="269"/>
      <c r="B294" s="659" t="s">
        <v>525</v>
      </c>
      <c r="C294" s="1034" t="str">
        <f>CMI!B38</f>
        <v>For mid and large size customer meters, which best describes the frequency of the proactive testing program?</v>
      </c>
      <c r="D294" s="404"/>
      <c r="E294" s="870" t="str">
        <f t="shared" si="17"/>
        <v/>
      </c>
      <c r="F294" s="402"/>
      <c r="G294" s="951">
        <f t="shared" si="16"/>
        <v>0</v>
      </c>
      <c r="H294" s="959" t="e">
        <f>VLOOKUP('Interactive Data Grading'!D294,CMI!$F$6:$J$16,5,FALSE)</f>
        <v>#N/A</v>
      </c>
      <c r="I294" s="959" t="e">
        <f>H294</f>
        <v>#N/A</v>
      </c>
    </row>
    <row r="295" spans="1:18" ht="29.45" customHeight="1">
      <c r="A295" s="269"/>
      <c r="B295" s="659" t="s">
        <v>503</v>
      </c>
      <c r="C295" s="1034" t="str">
        <f>CMI!B39</f>
        <v xml:space="preserve">Which best describes what meters are included in the proactive mid- and large customer meter testing activities? </v>
      </c>
      <c r="D295" s="404"/>
      <c r="E295" s="870" t="str">
        <f t="shared" si="17"/>
        <v/>
      </c>
      <c r="F295" s="402"/>
      <c r="G295" s="1053">
        <f>IF(OR($D$294=CMI!$F$23,$D$294=CMI!F$24),1,IF(LEN(D295)&gt;0,1,0))</f>
        <v>0</v>
      </c>
      <c r="H295" s="959" t="e">
        <f>VLOOKUP('Interactive Data Grading'!D295,CMI!$G$6:$J$16,4,FALSE)</f>
        <v>#N/A</v>
      </c>
      <c r="I295" s="959" t="e">
        <f>IF(OR(D294=CMI!F23,D294=CMI!F24),X,H295)</f>
        <v>#N/A</v>
      </c>
      <c r="J295" s="951" t="s">
        <v>525</v>
      </c>
    </row>
    <row r="296" spans="1:18" ht="29.45" customHeight="1">
      <c r="A296" s="269"/>
      <c r="B296" s="659" t="s">
        <v>526</v>
      </c>
      <c r="C296" s="1034" t="str">
        <f>CMI!B40</f>
        <v>Which best describes how the input was derived?</v>
      </c>
      <c r="D296" s="404"/>
      <c r="E296" s="870" t="str">
        <f t="shared" si="17"/>
        <v/>
      </c>
      <c r="F296" s="402"/>
      <c r="G296" s="951">
        <f t="shared" si="16"/>
        <v>0</v>
      </c>
      <c r="H296" s="959" t="e">
        <f>VLOOKUP('Interactive Data Grading'!D296,CMI!$H$6:$J$16,3,FALSE)</f>
        <v>#N/A</v>
      </c>
      <c r="I296" s="959" t="e">
        <f>H296</f>
        <v>#N/A</v>
      </c>
    </row>
    <row r="297" spans="1:18" ht="29.45" customHeight="1">
      <c r="A297" s="269"/>
      <c r="B297" s="659" t="s">
        <v>504</v>
      </c>
      <c r="C297" s="1034" t="str">
        <f>CMI!B41</f>
        <v>Has the input derivation been reviewed by someone with expert knowledge in the M36 methodology?</v>
      </c>
      <c r="D297" s="404"/>
      <c r="E297" s="870" t="str">
        <f t="shared" si="17"/>
        <v/>
      </c>
      <c r="F297" s="402"/>
      <c r="G297" s="951">
        <f t="shared" si="16"/>
        <v>0</v>
      </c>
      <c r="H297" s="959" t="e">
        <f>VLOOKUP('Interactive Data Grading'!D297,CMI!$I$6:$J$16,2,FALSE)</f>
        <v>#N/A</v>
      </c>
      <c r="I297" s="959" t="e">
        <f>H297</f>
        <v>#N/A</v>
      </c>
    </row>
    <row r="298" spans="1:18" ht="29.45" customHeight="1">
      <c r="A298" s="269"/>
      <c r="B298" s="659" t="s">
        <v>505</v>
      </c>
      <c r="C298" s="1034" t="str">
        <f>CMI!B42</f>
        <v>To what extent does meter replacement occur and for which meters?</v>
      </c>
      <c r="D298" s="404"/>
      <c r="E298" s="870" t="str">
        <f t="shared" si="17"/>
        <v/>
      </c>
      <c r="F298" s="402"/>
      <c r="G298" s="951">
        <f t="shared" si="16"/>
        <v>0</v>
      </c>
      <c r="H298" s="959"/>
      <c r="I298" s="959"/>
      <c r="J298" s="951" t="s">
        <v>752</v>
      </c>
    </row>
    <row r="299" spans="1:18" ht="29.45" customHeight="1">
      <c r="A299" s="269"/>
      <c r="B299" s="659" t="s">
        <v>506</v>
      </c>
      <c r="C299" s="1034" t="str">
        <f>CMI!B43</f>
        <v>Which best describes the reliability of meter installation records?</v>
      </c>
      <c r="D299" s="409"/>
      <c r="E299" s="870"/>
      <c r="F299" s="402"/>
      <c r="G299" s="951">
        <f t="shared" si="16"/>
        <v>0</v>
      </c>
      <c r="H299" s="959"/>
      <c r="I299" s="959"/>
      <c r="J299" s="951" t="s">
        <v>752</v>
      </c>
    </row>
    <row r="300" spans="1:18" ht="29.45" customHeight="1">
      <c r="A300" s="269"/>
      <c r="B300" s="269"/>
      <c r="C300" s="403" t="s">
        <v>313</v>
      </c>
      <c r="D300" s="874" t="str">
        <f>IF(D290="No","n/a",IF(G300=0,"",I300))</f>
        <v/>
      </c>
      <c r="E300" s="870"/>
      <c r="F300" s="402"/>
      <c r="G300" s="951">
        <f>MIN(G290:G299)</f>
        <v>0</v>
      </c>
      <c r="H300" s="962">
        <f t="array" ref="H300">MIN(IF(ISNUMBER(H291:H297),H291:H297))</f>
        <v>0</v>
      </c>
      <c r="I300" s="962">
        <f t="array" ref="I300">MIN(IF(ISNUMBER(I290:I299),I290:I299))</f>
        <v>0</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45" t="s">
        <v>1135</v>
      </c>
      <c r="B316" s="1246"/>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38" t="str">
        <f>IF(Worksheet!W43=1,"This Data Grading Criteria is hidden when the 'default' input is used on the Worksheet","")</f>
        <v>This Data Grading Criteria is hidden when the 'default' input is used on the Worksheet</v>
      </c>
      <c r="D317" s="1238"/>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45" t="s">
        <v>1135</v>
      </c>
      <c r="B343" s="1246"/>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c r="E346" s="870" t="str">
        <f>IFERROR(IF(OR($H346=10,NOT(ISNUMBER($H346))),"",IF(H346=$H$350,"Limiting","")),"")</f>
        <v/>
      </c>
      <c r="F346" s="402"/>
      <c r="G346" s="965">
        <f t="shared" ref="G346:G348" si="18">IF(LEN(D346)&gt;0,1,0)</f>
        <v>0</v>
      </c>
      <c r="H346" s="959" t="e">
        <f>VLOOKUP('Interactive Data Grading'!D346,Lm!$C$6:$G$15,5,FALSE)</f>
        <v>#N/A</v>
      </c>
      <c r="I346" s="959" t="e">
        <f>H346</f>
        <v>#N/A</v>
      </c>
    </row>
    <row r="347" spans="1:18" ht="27.6" customHeight="1">
      <c r="A347" s="269"/>
      <c r="B347" s="659" t="s">
        <v>564</v>
      </c>
      <c r="C347" s="1034" t="str">
        <f>Lm!B36</f>
        <v>Are hydrant laterals included in the input derivation?</v>
      </c>
      <c r="D347" s="404"/>
      <c r="E347" s="870" t="str">
        <f t="shared" ref="E347:E349" si="19">IFERROR(IF(OR($H347=10,NOT(ISNUMBER($H347))),"",IF(H347=$H$350,"Limiting","")),"")</f>
        <v/>
      </c>
      <c r="F347" s="402"/>
      <c r="G347" s="965">
        <f>IF(OR(LEN(D347)&gt;0,D346=Lm!$C$6),1,0)</f>
        <v>0</v>
      </c>
      <c r="H347" s="959" t="e">
        <f>VLOOKUP('Interactive Data Grading'!D347,Lm!$D$6:$G$15,4,FALSE)</f>
        <v>#N/A</v>
      </c>
      <c r="I347" s="959" t="e">
        <f>H347</f>
        <v>#N/A</v>
      </c>
      <c r="J347" s="951" t="s">
        <v>563</v>
      </c>
    </row>
    <row r="348" spans="1:18" ht="27.6" customHeight="1">
      <c r="A348" s="269"/>
      <c r="B348" s="659" t="s">
        <v>565</v>
      </c>
      <c r="C348" s="1034" t="str">
        <f>Lm!B37</f>
        <v>Which best describes how the Mains inventory (GIS, ledger, etc) is kept up to date?</v>
      </c>
      <c r="D348" s="404"/>
      <c r="E348" s="870" t="str">
        <f t="shared" si="19"/>
        <v/>
      </c>
      <c r="F348" s="402"/>
      <c r="G348" s="965">
        <f t="shared" si="18"/>
        <v>0</v>
      </c>
      <c r="H348" s="959" t="e">
        <f>VLOOKUP('Interactive Data Grading'!D348,Lm!$E$6:$G$15,3,FALSE)</f>
        <v>#N/A</v>
      </c>
      <c r="I348" s="959" t="e">
        <f>H348</f>
        <v>#N/A</v>
      </c>
    </row>
    <row r="349" spans="1:18" ht="27.6" customHeight="1">
      <c r="A349" s="269"/>
      <c r="B349" s="659" t="s">
        <v>566</v>
      </c>
      <c r="C349" s="1034" t="str">
        <f>Lm!B38</f>
        <v>Which best describes how the Mains inventory (GIS, ledger, etc) is field validated to confirm field conditions match the inventory?</v>
      </c>
      <c r="D349" s="404"/>
      <c r="E349" s="870" t="str">
        <f t="shared" si="19"/>
        <v/>
      </c>
      <c r="F349" s="402"/>
      <c r="G349" s="965">
        <f>IF(OR(LEN(D349)&gt;0,$D$348=Lm!$E$8),1,0)</f>
        <v>0</v>
      </c>
      <c r="H349" s="959" t="e">
        <f>VLOOKUP('Interactive Data Grading'!D349,Lm!$F$6:$G$15,2,FALSE)</f>
        <v>#N/A</v>
      </c>
      <c r="I349" s="959" t="e">
        <f>H349</f>
        <v>#N/A</v>
      </c>
      <c r="J349" s="951" t="s">
        <v>565</v>
      </c>
    </row>
    <row r="350" spans="1:18" ht="27.6" customHeight="1">
      <c r="A350" s="269"/>
      <c r="B350" s="269"/>
      <c r="C350" s="403" t="s">
        <v>313</v>
      </c>
      <c r="D350" s="873" t="str">
        <f>IF(G350&lt;1,"",I350)</f>
        <v/>
      </c>
      <c r="E350" s="870"/>
      <c r="F350" s="402"/>
      <c r="G350" s="965">
        <f>MIN(G346:G349)</f>
        <v>0</v>
      </c>
      <c r="H350" s="962" t="e">
        <f>MIN(H346:H349)</f>
        <v>#N/A</v>
      </c>
      <c r="I350" s="962">
        <f t="array" ref="I350">MIN(IF(ISNUMBER(I346:I349),I346:I349))</f>
        <v>0</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45" t="s">
        <v>1135</v>
      </c>
      <c r="B366" s="1246"/>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1268</v>
      </c>
      <c r="L368" s="956"/>
      <c r="M368" s="956"/>
      <c r="N368" s="956"/>
      <c r="O368" s="956"/>
      <c r="P368" s="956"/>
      <c r="Q368" s="956"/>
      <c r="R368" s="956"/>
    </row>
    <row r="369" spans="1:18" ht="27.6" customHeight="1">
      <c r="A369" s="269"/>
      <c r="B369" s="659" t="s">
        <v>570</v>
      </c>
      <c r="C369" s="1034" t="str">
        <f>Nc!B35</f>
        <v>How was the input derived?</v>
      </c>
      <c r="D369" s="404"/>
      <c r="E369" s="870" t="str">
        <f>IFERROR(IF(OR($D$374=10,NOT(ISNUMBER($D$374))),"",IF(I369=$I$374,"Limiting","")),"")</f>
        <v/>
      </c>
      <c r="F369" s="402"/>
      <c r="H369" s="959" t="e">
        <f>VLOOKUP('Interactive Data Grading'!D369,Nc!$C$6:$H$15,6,FALSE)</f>
        <v>#N/A</v>
      </c>
      <c r="I369" s="959" t="e">
        <f>H369</f>
        <v>#N/A</v>
      </c>
      <c r="K369" s="951" t="str">
        <f>IFERROR(IF(OR($D$374=10,NOT(ISNUMBER($D$374))),"",IF(I369=$I$374,"Limiting","")),"")</f>
        <v/>
      </c>
    </row>
    <row r="370" spans="1:18" ht="27.6" customHeight="1">
      <c r="A370" s="269"/>
      <c r="B370" s="659" t="s">
        <v>571</v>
      </c>
      <c r="C370" s="1034" t="str">
        <f>Nc!B36</f>
        <v>What is the count of services based on?</v>
      </c>
      <c r="D370" s="404"/>
      <c r="E370" s="870" t="str">
        <f t="shared" ref="E370:E373" si="20">IFERROR(IF(OR($D$374=10,NOT(ISNUMBER($D$374))),"",IF(I370=$I$374,"Limiting","")),"")</f>
        <v/>
      </c>
      <c r="F370" s="402"/>
      <c r="G370" s="965">
        <f>IF(OR(LEN(D370)&gt;0,$D$369=Nc!$C$23),1,0)</f>
        <v>0</v>
      </c>
      <c r="H370" s="959" t="e">
        <f>VLOOKUP('Interactive Data Grading'!D370,Nc!$D$6:$H$15,5,FALSE)</f>
        <v>#N/A</v>
      </c>
      <c r="I370" s="959" t="e">
        <f>H370</f>
        <v>#N/A</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c r="E371" s="870" t="str">
        <f t="shared" si="20"/>
        <v/>
      </c>
      <c r="F371" s="402"/>
      <c r="G371" s="965">
        <f>IF(OR(LEN(D371)&gt;0,D369=Nc!$C$23),1,0)</f>
        <v>0</v>
      </c>
      <c r="H371" s="959" t="e">
        <f>VLOOKUP('Interactive Data Grading'!D371,Nc!$E$6:$H$15,4,FALSE)</f>
        <v>#N/A</v>
      </c>
      <c r="I371" s="959" t="e">
        <f t="shared" ref="I371:I373" si="22">H371</f>
        <v>#N/A</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c r="E372" s="870" t="str">
        <f t="shared" si="20"/>
        <v/>
      </c>
      <c r="F372" s="402"/>
      <c r="G372" s="965">
        <f t="shared" ref="G372" si="23">IF(LEN(D372)&gt;0,1,0)</f>
        <v>0</v>
      </c>
      <c r="H372" s="959" t="e">
        <f>VLOOKUP('Interactive Data Grading'!D372,Nc!$F$6:$H$15,3,FALSE)</f>
        <v>#N/A</v>
      </c>
      <c r="I372" s="959" t="e">
        <f t="shared" si="22"/>
        <v>#N/A</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c r="E373" s="870" t="str">
        <f t="shared" si="20"/>
        <v/>
      </c>
      <c r="F373" s="402"/>
      <c r="G373" s="967">
        <f>IF(OR(LEN(D373)&gt;0,D372=Nc!F23),1,0)</f>
        <v>0</v>
      </c>
      <c r="H373" s="959" t="e">
        <f>VLOOKUP('Interactive Data Grading'!D373,Nc!$G$6:$H$15,2,FALSE)</f>
        <v>#N/A</v>
      </c>
      <c r="I373" s="959" t="e">
        <f t="shared" si="22"/>
        <v>#N/A</v>
      </c>
      <c r="J373" s="951" t="s">
        <v>573</v>
      </c>
      <c r="K373" s="951" t="str">
        <f t="shared" si="21"/>
        <v/>
      </c>
    </row>
    <row r="374" spans="1:18" ht="27.6" customHeight="1">
      <c r="A374" s="269"/>
      <c r="B374" s="269"/>
      <c r="C374" s="403" t="s">
        <v>313</v>
      </c>
      <c r="D374" s="873" t="str">
        <f>IF(G374&lt;1,"",I374)</f>
        <v/>
      </c>
      <c r="E374" s="870"/>
      <c r="F374" s="402"/>
      <c r="G374" s="967">
        <f>MIN(G370:G373)</f>
        <v>0</v>
      </c>
      <c r="H374" s="962" t="e">
        <f>MIN(H369:H373)</f>
        <v>#N/A</v>
      </c>
      <c r="I374" s="962">
        <f t="array" ref="I374">MIN(IF(ISNUMBER(I369:I373),I369:I373))</f>
        <v>0</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45" t="s">
        <v>1135</v>
      </c>
      <c r="B390" s="1246"/>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Select on Worksheet</v>
      </c>
      <c r="E393" s="870"/>
      <c r="F393" s="402"/>
      <c r="I393" s="958"/>
      <c r="J393" s="951" t="s">
        <v>868</v>
      </c>
      <c r="K393" s="951" t="s">
        <v>1268</v>
      </c>
    </row>
    <row r="394" spans="1:18" ht="27.6" customHeight="1">
      <c r="A394" s="269"/>
      <c r="B394" s="659" t="s">
        <v>583</v>
      </c>
      <c r="C394" s="1037" t="str">
        <f>Lp!B35</f>
        <v>How was the input derived?</v>
      </c>
      <c r="D394" s="406"/>
      <c r="E394" s="870" t="str">
        <f>IFERROR(IF(OR($D$398=10,NOT(ISNUMBER($D$398))),"",IF(I394=$I$398,"Limiting","")),"")</f>
        <v/>
      </c>
      <c r="F394" s="402"/>
      <c r="G394" s="951">
        <f>IF(LEN(D394)&gt;0,1,0)</f>
        <v>0</v>
      </c>
      <c r="H394" s="959" t="e">
        <f>VLOOKUP(D394,Lp!$C$6:$G$15,5,FALSE)</f>
        <v>#N/A</v>
      </c>
      <c r="I394" s="960" t="e">
        <f>H394</f>
        <v>#N/A</v>
      </c>
    </row>
    <row r="395" spans="1:18" ht="27.6" customHeight="1">
      <c r="A395" s="269"/>
      <c r="B395" s="659" t="s">
        <v>584</v>
      </c>
      <c r="C395" s="1037" t="str">
        <f>Lp!B36</f>
        <v>Which best describes how the Customer Service Line and Meter Locations mapping is kept up to date?</v>
      </c>
      <c r="D395" s="406"/>
      <c r="E395" s="870" t="str">
        <f t="shared" ref="E395:E397" si="24">IFERROR(IF(OR($D$398=10,NOT(ISNUMBER($D$398))),"",IF(I395=$I$398,"Limiting","")),"")</f>
        <v/>
      </c>
      <c r="F395" s="402"/>
      <c r="G395" s="951">
        <f>IF(LEN(D395)&gt;0,1,0)</f>
        <v>0</v>
      </c>
      <c r="H395" s="959" t="e">
        <f>VLOOKUP('Interactive Data Grading'!D395,Lp!$D$6:$G$15,4,FALSE)</f>
        <v>#N/A</v>
      </c>
      <c r="I395" s="960" t="e">
        <f>IF(OR(D392=VOS!D190,D393=VOS!H192),X,H395)</f>
        <v>#N/A</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0</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c r="E397" s="870" t="str">
        <f t="shared" si="24"/>
        <v/>
      </c>
      <c r="F397" s="402"/>
      <c r="G397" s="951">
        <f>IF(LEN(D397)&gt;0,1,0)</f>
        <v>0</v>
      </c>
      <c r="H397" s="959" t="e">
        <f>VLOOKUP('Interactive Data Grading'!D397,Lp!$F$6:$G$15,2,FALSE)</f>
        <v>#N/A</v>
      </c>
      <c r="I397" s="959" t="e">
        <f>H397</f>
        <v>#N/A</v>
      </c>
      <c r="J397" s="968"/>
    </row>
    <row r="398" spans="1:18" ht="27.6" customHeight="1">
      <c r="A398" s="269"/>
      <c r="B398" s="269"/>
      <c r="C398" s="403" t="s">
        <v>313</v>
      </c>
      <c r="D398" s="873" t="str">
        <f>IFERROR((IF(D393="Yes","10",IF(G398=0,"",I398))),"")</f>
        <v/>
      </c>
      <c r="E398" s="870"/>
      <c r="F398" s="402"/>
      <c r="G398" s="952">
        <f>MIN(G394:G397)</f>
        <v>0</v>
      </c>
      <c r="H398" s="962" t="e">
        <f>MIN(H394:H397)</f>
        <v>#N/A</v>
      </c>
      <c r="I398" s="962">
        <f t="array" ref="I398">MIN(IF(ISNUMBER(I394:I397),I394:I397))</f>
        <v>0</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45" t="s">
        <v>1135</v>
      </c>
      <c r="B414" s="1246"/>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1267</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c r="E417" s="870" t="str">
        <f t="shared" ref="E417:E421" si="25">IFERROR(IF(OR($D$422=10,NOT(ISNUMBER($D$422))),"",IF(I417=$I$422,"Limiting","")),"")</f>
        <v/>
      </c>
      <c r="F417" s="402"/>
      <c r="G417" s="965">
        <f t="shared" ref="G417:G421" si="26">IF(LEN(D417)&gt;0,1,0)</f>
        <v>0</v>
      </c>
      <c r="H417" s="959" t="e">
        <f>VLOOKUP('Interactive Data Grading'!D417,AOP!$C$6:$H$17,6,FALSE)</f>
        <v>#N/A</v>
      </c>
      <c r="I417" s="959" t="e">
        <f>H417</f>
        <v>#N/A</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c r="E418" s="870" t="str">
        <f t="shared" si="25"/>
        <v/>
      </c>
      <c r="F418" s="402"/>
      <c r="G418" s="965">
        <f t="shared" si="26"/>
        <v>0</v>
      </c>
      <c r="H418" s="960" t="e">
        <f>VLOOKUP('Interactive Data Grading'!D418,AOP!$D$6:$H$17,5,FALSE)</f>
        <v>#N/A</v>
      </c>
      <c r="I418" s="960" t="e">
        <f>IF(H419=10,10,H418)</f>
        <v>#N/A</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c r="E419" s="870" t="str">
        <f t="shared" si="25"/>
        <v/>
      </c>
      <c r="F419" s="402"/>
      <c r="G419" s="965">
        <f t="shared" si="26"/>
        <v>0</v>
      </c>
      <c r="H419" s="959" t="e">
        <f>VLOOKUP('Interactive Data Grading'!D419,AOP!$E$6:$H$17,4,FALSE)</f>
        <v>#N/A</v>
      </c>
      <c r="I419" s="960" t="e">
        <f>H419</f>
        <v>#N/A</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c r="E420" s="870" t="str">
        <f t="shared" si="25"/>
        <v/>
      </c>
      <c r="F420" s="402"/>
      <c r="G420" s="965">
        <f>IF(OR(LEN(D420)&gt;0,D419=AOP!E23),1,0)</f>
        <v>0</v>
      </c>
      <c r="H420" s="959" t="e">
        <f>VLOOKUP('Interactive Data Grading'!D420,AOP!$F$6:$H$17,3,FALSE)</f>
        <v>#N/A</v>
      </c>
      <c r="I420" s="959" t="e">
        <f>IF(D419=AOP!E23,X,H420)</f>
        <v>#N/A</v>
      </c>
      <c r="J420" s="951" t="s">
        <v>892</v>
      </c>
      <c r="K420" s="992" t="str">
        <f t="shared" si="27"/>
        <v/>
      </c>
    </row>
    <row r="421" spans="1:18" ht="27.6" customHeight="1">
      <c r="A421" s="269"/>
      <c r="B421" s="659" t="s">
        <v>618</v>
      </c>
      <c r="C421" s="1034" t="str">
        <f>AOP!B39</f>
        <v>How was the input derived?</v>
      </c>
      <c r="D421" s="404"/>
      <c r="E421" s="870" t="str">
        <f t="shared" si="25"/>
        <v/>
      </c>
      <c r="F421" s="402"/>
      <c r="G421" s="965">
        <f t="shared" si="26"/>
        <v>0</v>
      </c>
      <c r="H421" s="959" t="e">
        <f>VLOOKUP('Interactive Data Grading'!D421,AOP!$G$6:$H$17,2,FALSE)</f>
        <v>#N/A</v>
      </c>
      <c r="I421" s="959" t="e">
        <f>H421</f>
        <v>#N/A</v>
      </c>
      <c r="K421" s="992" t="str">
        <f t="shared" si="27"/>
        <v/>
      </c>
    </row>
    <row r="422" spans="1:18" ht="27.6" customHeight="1">
      <c r="A422" s="269"/>
      <c r="B422" s="269"/>
      <c r="C422" s="403" t="s">
        <v>313</v>
      </c>
      <c r="D422" s="873" t="str">
        <f>IF(G422&lt;1,"",I422)</f>
        <v/>
      </c>
      <c r="E422" s="870"/>
      <c r="F422" s="402"/>
      <c r="G422" s="967">
        <f>MIN(G417:G421)</f>
        <v>0</v>
      </c>
      <c r="H422" s="962" t="e">
        <f>MIN(H417:H421)</f>
        <v>#N/A</v>
      </c>
      <c r="I422" s="962">
        <f t="array" ref="I422">MIN(IF(ISNUMBER(I417:I421),I417:I421))</f>
        <v>0</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45" t="s">
        <v>1135</v>
      </c>
      <c r="B438" s="1246"/>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39" t="str">
        <f>IF(OR(AND(D441="Yes",Worksheet!H23&gt;0),AND(D441="No",Worksheet!H23&lt;=0),LEN(D441)=0),"","Inconsistency between Worksheet BMAC input and cruc.0 response")</f>
        <v/>
      </c>
      <c r="D439" s="1239"/>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c r="E441" s="870"/>
      <c r="F441" s="402"/>
      <c r="H441" s="959"/>
      <c r="I441" s="959"/>
      <c r="J441" s="972" t="s">
        <v>843</v>
      </c>
    </row>
    <row r="442" spans="1:18" ht="27.6" customHeight="1">
      <c r="A442" s="269"/>
      <c r="B442" s="659" t="s">
        <v>625</v>
      </c>
      <c r="C442" s="1034" t="str">
        <f>CRUC!B35</f>
        <v>Which best describes the use and reliability of the current rate structure?</v>
      </c>
      <c r="D442" s="404"/>
      <c r="E442" s="870" t="str">
        <f>IF(OR($D$446=10,$D$446="n/a"),"",IFERROR(IF(H442=MIN($H$442:$H$445),"Limiting",""),""))</f>
        <v/>
      </c>
      <c r="F442" s="402"/>
      <c r="H442" s="959" t="e">
        <f>VLOOKUP('Interactive Data Grading'!D442,CRUC!$C$6:$G$17,5,FALSE)</f>
        <v>#N/A</v>
      </c>
      <c r="I442" s="959"/>
      <c r="J442" s="972"/>
    </row>
    <row r="443" spans="1:18" ht="27.6" customHeight="1">
      <c r="A443" s="269"/>
      <c r="B443" s="659" t="s">
        <v>626</v>
      </c>
      <c r="C443" s="1034" t="str">
        <f>CRUC!B36</f>
        <v>Choose the option that best describes how the input was derived</v>
      </c>
      <c r="D443" s="404"/>
      <c r="E443" s="870" t="str">
        <f>IF(OR($D$446=10,$D$446="n/a"),"",IFERROR(IF(H443=MIN($H$442:$H$445),"Limiting",""),""))</f>
        <v/>
      </c>
      <c r="F443" s="402"/>
      <c r="H443" s="959" t="e">
        <f>VLOOKUP('Interactive Data Grading'!D443,CRUC!$D$6:$G$17,4,FALSE)</f>
        <v>#N/A</v>
      </c>
      <c r="I443" s="959"/>
    </row>
    <row r="444" spans="1:18" ht="27.6" customHeight="1">
      <c r="A444" s="269"/>
      <c r="B444" s="659" t="s">
        <v>627</v>
      </c>
      <c r="C444" s="1034" t="str">
        <f>CRUC!B37</f>
        <v>Is there any additional volumetric revenue the utility receives that depends on water meter readings, such as sewer?</v>
      </c>
      <c r="D444" s="404"/>
      <c r="E444" s="870" t="str">
        <f>IF(OR($D$446=10,$D$446="n/a"),"",IFERROR(IF(H444=MIN($H$442:$H$445),"Limiting",""),""))</f>
        <v/>
      </c>
      <c r="F444" s="402"/>
      <c r="H444" s="959" t="e">
        <f>VLOOKUP('Interactive Data Grading'!D444,CRUC!$E$6:$G$17,3,FALSE)</f>
        <v>#N/A</v>
      </c>
      <c r="I444" s="959"/>
    </row>
    <row r="445" spans="1:18" ht="27.6" customHeight="1">
      <c r="A445" s="269"/>
      <c r="B445" s="659" t="s">
        <v>628</v>
      </c>
      <c r="C445" s="1034" t="str">
        <f>CRUC!B38</f>
        <v>Has the input derivation been reviewed by someone with expert knowledge in the M36 methodology?</v>
      </c>
      <c r="D445" s="404"/>
      <c r="E445" s="870" t="str">
        <f>IF(OR($D$446=10,$D$446="n/a"),"",IFERROR(IF(H445=MIN($H$442:$H$445),"Limiting",""),""))</f>
        <v/>
      </c>
      <c r="F445" s="402"/>
      <c r="H445" s="959" t="e">
        <f>VLOOKUP('Interactive Data Grading'!D445,CRUC!$F$6:$G$17,2,FALSE)</f>
        <v>#N/A</v>
      </c>
      <c r="I445" s="960"/>
    </row>
    <row r="446" spans="1:18" ht="27.6" customHeight="1">
      <c r="A446" s="269"/>
      <c r="B446" s="269"/>
      <c r="C446" s="403" t="s">
        <v>313</v>
      </c>
      <c r="D446" s="873" t="str">
        <f>IF(D441="No","n/a",IF(ISNA(H446),"",H446))</f>
        <v/>
      </c>
      <c r="E446" s="870"/>
      <c r="F446" s="402"/>
      <c r="H446" s="962" t="e">
        <f>MIN(H442:H445)</f>
        <v>#N/A</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45" t="s">
        <v>1135</v>
      </c>
      <c r="B462" s="1246"/>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c r="E465" s="870" t="str">
        <f>IF($D$469=10,"",IFERROR(IF(H465=MIN($H$465:$H$468),"Limiting",""),""))</f>
        <v/>
      </c>
      <c r="F465" s="402"/>
      <c r="H465" s="959" t="e">
        <f>VLOOKUP('Interactive Data Grading'!D465,VPC!$C$6:$G$18,5,FALSE)</f>
        <v>#N/A</v>
      </c>
      <c r="I465" s="960" t="e">
        <f>H465</f>
        <v>#N/A</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c r="E466" s="870" t="str">
        <f>IFERROR(IF(OR($D$469=10,$D$465=VPC!$C$18),"",IF(H466=MIN($H$465:$H$468),"Limiting","")),"")</f>
        <v/>
      </c>
      <c r="F466" s="402"/>
      <c r="H466" s="966" t="e">
        <f>VLOOKUP('Interactive Data Grading'!D466,VPC!$D$6:$G$18,4,FALSE)</f>
        <v>#N/A</v>
      </c>
      <c r="I466" s="966" t="e">
        <f>H466</f>
        <v>#N/A</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c r="E467" s="870" t="str">
        <f>IFERROR(IF(OR($D$469=10,$D$465=VPC!$C$18),"",IF(H467=MIN($H$465:$H$468),"Limiting","")),"")</f>
        <v/>
      </c>
      <c r="F467" s="402"/>
      <c r="H467" s="966" t="e">
        <f>VLOOKUP('Interactive Data Grading'!D467,VPC!$E$6:$G$18,3,FALSE)</f>
        <v>#N/A</v>
      </c>
      <c r="I467" s="974" t="e">
        <f>IF(D465=VPC!C17,10,'Interactive Data Grading'!H467)</f>
        <v>#N/A</v>
      </c>
    </row>
    <row r="468" spans="1:10" ht="27.6" customHeight="1">
      <c r="A468" s="269"/>
      <c r="B468" s="660" t="s">
        <v>647</v>
      </c>
      <c r="C468" s="1038" t="str">
        <f>VPC!B38</f>
        <v>Has the input derivation been reviewed by someone with expert knowledge in the M36 methodology?</v>
      </c>
      <c r="D468" s="404"/>
      <c r="E468" s="870" t="str">
        <f>IFERROR(IF(OR($D$469=10,$D$465=VPC!$C$18),"",IF(H468=MIN($H$465:$H$468),"Limiting","")),"")</f>
        <v/>
      </c>
      <c r="F468" s="402"/>
      <c r="H468" s="959" t="e">
        <f>VLOOKUP('Interactive Data Grading'!D468,VPC!$F$6:$G$18,2,FALSE)</f>
        <v>#N/A</v>
      </c>
      <c r="I468" s="959" t="e">
        <f>H468</f>
        <v>#N/A</v>
      </c>
    </row>
    <row r="469" spans="1:10" ht="14.1" customHeight="1">
      <c r="A469" s="269"/>
      <c r="B469" s="269"/>
      <c r="C469" s="403" t="s">
        <v>313</v>
      </c>
      <c r="D469" s="873" t="str">
        <f>IFERROR(IF(D465=VPC!C18,'Interactive Data Grading'!D446,I469),"")</f>
        <v/>
      </c>
      <c r="E469" s="870"/>
      <c r="F469" s="402"/>
      <c r="H469" s="962" t="e">
        <f>MIN(H465:H468)</f>
        <v>#N/A</v>
      </c>
      <c r="I469" s="962" t="e">
        <f>MIN(I465:I468)</f>
        <v>#N/A</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0" t="s">
        <v>1154</v>
      </c>
      <c r="AO2" s="1261"/>
      <c r="AP2" s="1261"/>
      <c r="AQ2" s="1262"/>
      <c r="AR2" s="1070"/>
      <c r="AS2" s="1260" t="s">
        <v>1155</v>
      </c>
      <c r="AT2" s="1261"/>
      <c r="AU2" s="1261"/>
      <c r="AV2" s="1262"/>
      <c r="AW2" s="1070"/>
      <c r="AX2" s="1260" t="s">
        <v>1189</v>
      </c>
      <c r="AY2" s="1261"/>
      <c r="AZ2" s="1261"/>
      <c r="BA2" s="1262"/>
      <c r="BB2" s="1025"/>
      <c r="BC2" s="138"/>
      <c r="BL2" s="710"/>
      <c r="BM2" s="765"/>
      <c r="BN2" s="766"/>
      <c r="BO2" s="950">
        <f>LEN(C4)</f>
        <v>119</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Enter info on the Start Page</v>
      </c>
      <c r="Q3" s="784"/>
      <c r="R3" s="784"/>
      <c r="S3" s="784"/>
      <c r="T3" s="784"/>
      <c r="U3" s="784"/>
      <c r="V3" s="784"/>
      <c r="W3" s="784"/>
      <c r="X3" s="784"/>
      <c r="Y3" s="784"/>
      <c r="Z3" s="784"/>
      <c r="AA3" s="784"/>
      <c r="AB3" s="784"/>
      <c r="AC3" s="781"/>
      <c r="AD3" s="782"/>
      <c r="AE3" s="783"/>
      <c r="AF3" s="780" t="s">
        <v>714</v>
      </c>
      <c r="AG3" s="1247" t="str">
        <f>IF(ISBLANK('Start Page'!AB18),"",'Start Page'!AB18)</f>
        <v/>
      </c>
      <c r="AH3" s="1247"/>
      <c r="AI3" s="785"/>
      <c r="AJ3" s="786" t="str">
        <f>IF(ISBLANK('Start Page'!AB19),"",'Start Page'!AB19)</f>
        <v/>
      </c>
      <c r="AK3" s="786"/>
      <c r="AL3" s="785"/>
      <c r="AM3" s="784" t="str">
        <f>IF(ISBLANK('Start Page'!AB20),"",TEXT('Start Page'!AB20,"mmm dd yyyy")&amp;" - "&amp;TEXT('Start Page'!AB21,"mmm dd yyyy"))</f>
        <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55" t="str">
        <f>IFERROR(IF(ISBLANK('Start Page'!$AB$22),"******* REPORTING UNITS MUST BE SELECTED ON THE INSTRUCTIONS TAB BEFORE PERFORMANCE INDICATORS CAN BE DISPLAYED *******",IF('M36 Refs'!AN118&gt;0," ******* COMPLETE ALL VISIBLE QUESTIONS ON THE INTERACTIVE DATA GRADING TAB TO DISPLAY PERFORMANCE INDICATORS *******","")),"")</f>
        <v>******* REPORTING UNITS MUST BE SELECTED ON THE INSTRUCTIONS TAB BEFORE PERFORMANCE INDICATORS CAN BE DISPLAYED *******</v>
      </c>
      <c r="D4" s="1255"/>
      <c r="E4" s="1255"/>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5"/>
      <c r="AI4" s="1255"/>
      <c r="AJ4" s="1255"/>
      <c r="AK4" s="1255"/>
      <c r="AL4" s="1255"/>
      <c r="AM4" s="1255"/>
      <c r="AN4" s="1255"/>
      <c r="AO4" s="1255"/>
      <c r="AP4" s="1255"/>
      <c r="AQ4" s="1255"/>
      <c r="AR4" s="1255"/>
      <c r="AS4" s="1255"/>
      <c r="AT4" s="1255"/>
      <c r="AU4" s="1255"/>
      <c r="AV4" s="1255"/>
      <c r="AW4" s="1255"/>
      <c r="AX4" s="1255"/>
      <c r="AY4" s="1255"/>
      <c r="AZ4" s="1255"/>
      <c r="BA4" s="125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N/A*</v>
      </c>
      <c r="BS4" s="823"/>
      <c r="BT4" s="823"/>
      <c r="BU4" s="298"/>
      <c r="BV4" s="298"/>
      <c r="BW4" s="298"/>
    </row>
    <row r="5" spans="1:77" s="73" customFormat="1" ht="15" customHeight="1">
      <c r="A5" s="138"/>
      <c r="B5" s="417"/>
      <c r="C5" s="1250" t="s">
        <v>781</v>
      </c>
      <c r="D5" s="1250"/>
      <c r="E5" s="1250"/>
      <c r="F5" s="1250"/>
      <c r="G5" s="1250"/>
      <c r="H5" s="1250"/>
      <c r="I5" s="1250"/>
      <c r="J5" s="1250"/>
      <c r="K5" s="1250"/>
      <c r="L5" s="1250"/>
      <c r="M5" s="1250"/>
      <c r="N5" s="1250"/>
      <c r="O5" s="1250"/>
      <c r="P5" s="1250"/>
      <c r="Q5" s="1250"/>
      <c r="R5" s="1250"/>
      <c r="S5" s="1250"/>
      <c r="T5" s="1250"/>
      <c r="U5" s="1250"/>
      <c r="V5" s="1250"/>
      <c r="W5" s="852"/>
      <c r="X5" s="1004"/>
      <c r="Y5" s="1004"/>
      <c r="Z5" s="1004"/>
      <c r="AA5" s="1004"/>
      <c r="AB5" s="1004"/>
      <c r="AC5" s="1004"/>
      <c r="AD5" s="1083" t="s">
        <v>1252</v>
      </c>
      <c r="AE5" s="1004"/>
      <c r="AF5" s="1004"/>
      <c r="AG5" s="1004"/>
      <c r="AH5" s="1257" t="s">
        <v>1163</v>
      </c>
      <c r="AI5" s="1257"/>
      <c r="AJ5" s="1257"/>
      <c r="AK5" s="1257"/>
      <c r="AL5" s="1257"/>
      <c r="AM5" s="1257"/>
      <c r="AN5" s="1257"/>
      <c r="AO5" s="1257"/>
      <c r="AP5" s="1257"/>
      <c r="AQ5" s="1257"/>
      <c r="AR5" s="125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50"/>
      <c r="D6" s="1250"/>
      <c r="E6" s="1250"/>
      <c r="F6" s="1250"/>
      <c r="G6" s="1250"/>
      <c r="H6" s="1250"/>
      <c r="I6" s="1250"/>
      <c r="J6" s="1250"/>
      <c r="K6" s="1250"/>
      <c r="L6" s="1250"/>
      <c r="M6" s="1250"/>
      <c r="N6" s="1250"/>
      <c r="O6" s="1250"/>
      <c r="P6" s="1250"/>
      <c r="Q6" s="1250"/>
      <c r="R6" s="1250"/>
      <c r="S6" s="1250"/>
      <c r="T6" s="1250"/>
      <c r="U6" s="1250"/>
      <c r="V6" s="1250"/>
      <c r="W6" s="787"/>
      <c r="X6" s="1055"/>
      <c r="Y6" s="1056" t="s">
        <v>1206</v>
      </c>
      <c r="Z6" s="1252">
        <v>0.73699999999999999</v>
      </c>
      <c r="AA6" s="1252"/>
      <c r="AB6" s="1057" t="s">
        <v>1253</v>
      </c>
      <c r="AC6" s="943"/>
      <c r="AD6" s="1004"/>
      <c r="AE6" s="1004"/>
      <c r="AF6" s="1004"/>
      <c r="AG6" s="1004"/>
      <c r="AH6" s="1257"/>
      <c r="AI6" s="1257"/>
      <c r="AJ6" s="1257"/>
      <c r="AK6" s="1257"/>
      <c r="AL6" s="1257"/>
      <c r="AM6" s="1257"/>
      <c r="AN6" s="1257"/>
      <c r="AO6" s="1257"/>
      <c r="AP6" s="1257"/>
      <c r="AQ6" s="1257"/>
      <c r="AR6" s="1257"/>
      <c r="AS6" s="1004"/>
      <c r="AT6" s="1004"/>
      <c r="AU6" s="1004"/>
      <c r="AV6" s="1004"/>
      <c r="AW6" s="1004"/>
      <c r="AX6" s="1004"/>
      <c r="AY6" s="1004"/>
      <c r="AZ6" s="1004"/>
      <c r="BA6" s="1004"/>
      <c r="BB6" s="708"/>
      <c r="BC6" s="300"/>
      <c r="BD6" s="302" t="s">
        <v>686</v>
      </c>
      <c r="BM6" s="767"/>
      <c r="BN6" s="768"/>
      <c r="BO6" s="824"/>
      <c r="BP6" s="824"/>
      <c r="BQ6" s="824"/>
      <c r="BR6" s="825" t="str">
        <f>IFERROR(IF(ISBLANK('Start Page'!$AB$22),"N/A*",IF('M36 Refs'!AN118&gt;0,"",ROUND('M36 Refs'!AH118,0))),"")</f>
        <v>N/A*</v>
      </c>
      <c r="BS6" s="826"/>
      <c r="BT6" s="825"/>
      <c r="BU6" s="827"/>
      <c r="BV6" s="827"/>
      <c r="BW6" s="827"/>
      <c r="BX6" s="73"/>
      <c r="BY6" s="73"/>
    </row>
    <row r="7" spans="1:77" s="301" customFormat="1" ht="12.95" customHeight="1">
      <c r="A7" s="300"/>
      <c r="B7" s="410"/>
      <c r="C7" s="78"/>
      <c r="D7" s="788"/>
      <c r="E7" s="996"/>
      <c r="F7" s="789"/>
      <c r="G7" s="789"/>
      <c r="H7" s="787"/>
      <c r="I7" s="931" t="s">
        <v>237</v>
      </c>
      <c r="J7" s="1249" t="str">
        <f>BR6</f>
        <v>N/A*</v>
      </c>
      <c r="K7" s="1249"/>
      <c r="L7" s="932"/>
      <c r="M7" s="932"/>
      <c r="N7" s="932"/>
      <c r="O7" s="932"/>
      <c r="P7" s="932"/>
      <c r="Q7" s="931" t="s">
        <v>681</v>
      </c>
      <c r="R7" s="1248" t="str">
        <f>IF(BO2&gt;0,"",BR4)</f>
        <v/>
      </c>
      <c r="S7" s="1248"/>
      <c r="T7" s="1248"/>
      <c r="U7" s="1248"/>
      <c r="V7" s="1248"/>
      <c r="W7" s="787"/>
      <c r="X7" s="1059" t="s">
        <v>1246</v>
      </c>
      <c r="AD7" s="943"/>
      <c r="AE7" s="1007"/>
      <c r="AF7" s="1007"/>
      <c r="AG7" s="1007"/>
      <c r="AH7" s="1251" t="s">
        <v>1190</v>
      </c>
      <c r="AI7" s="1251"/>
      <c r="AJ7" s="1251"/>
      <c r="AK7" s="1251"/>
      <c r="AL7" s="1251"/>
      <c r="AM7" s="1251"/>
      <c r="AN7" s="1251"/>
      <c r="AO7" s="1251"/>
      <c r="AP7" s="1251"/>
      <c r="AQ7" s="1251"/>
      <c r="AR7" s="125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56" t="s">
        <v>1095</v>
      </c>
      <c r="I8" s="1256"/>
      <c r="J8" s="1253" t="s">
        <v>946</v>
      </c>
      <c r="K8" s="1253"/>
      <c r="L8" s="1253"/>
      <c r="M8" s="1253"/>
      <c r="N8" s="1253"/>
      <c r="O8" s="1253"/>
      <c r="P8" s="1254" t="s">
        <v>1094</v>
      </c>
      <c r="Q8" s="1254"/>
      <c r="R8" s="1254"/>
      <c r="S8" s="1254"/>
      <c r="T8" s="943"/>
      <c r="U8" s="943"/>
      <c r="V8" s="788"/>
      <c r="W8" s="788"/>
      <c r="Y8" s="1007"/>
      <c r="Z8" s="1007"/>
      <c r="AA8" s="1007"/>
      <c r="AB8" s="943"/>
      <c r="AC8" s="943"/>
      <c r="AD8" s="943"/>
      <c r="AE8" s="1007"/>
      <c r="AF8" s="1007"/>
      <c r="AG8" s="1007"/>
      <c r="AH8" s="1251"/>
      <c r="AI8" s="1251"/>
      <c r="AJ8" s="1251"/>
      <c r="AK8" s="1251"/>
      <c r="AL8" s="1251"/>
      <c r="AM8" s="1251"/>
      <c r="AN8" s="1251"/>
      <c r="AO8" s="1251"/>
      <c r="AP8" s="1251"/>
      <c r="AQ8" s="1251"/>
      <c r="AR8" s="125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t="str">
        <f>BR6</f>
        <v>N/A*</v>
      </c>
      <c r="BT8" s="823"/>
      <c r="BU8" s="298"/>
      <c r="BV8" s="298"/>
      <c r="BW8" s="298"/>
    </row>
    <row r="9" spans="1:77" s="73" customFormat="1" ht="12.95" customHeight="1">
      <c r="A9" s="138"/>
      <c r="B9" s="410"/>
      <c r="C9" s="943"/>
      <c r="D9" s="943"/>
      <c r="E9" s="997"/>
      <c r="F9" s="943"/>
      <c r="G9" s="943"/>
      <c r="H9" s="1256"/>
      <c r="I9" s="1256"/>
      <c r="J9" s="1253"/>
      <c r="K9" s="1253"/>
      <c r="L9" s="1253"/>
      <c r="M9" s="1253"/>
      <c r="N9" s="1253"/>
      <c r="O9" s="1253"/>
      <c r="P9" s="1254"/>
      <c r="Q9" s="1254"/>
      <c r="R9" s="1254"/>
      <c r="S9" s="125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
      </c>
      <c r="BM10" s="765"/>
      <c r="BN10" s="769"/>
      <c r="BO10" s="577" t="s">
        <v>777</v>
      </c>
      <c r="BP10" s="577">
        <v>25</v>
      </c>
      <c r="BQ10" s="577"/>
      <c r="BR10" s="823" t="s">
        <v>779</v>
      </c>
      <c r="BS10" s="823">
        <f>SUM(BP8:BP13)-SUM(BS8:BS9)</f>
        <v>198.73333333333332</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73"/>
      <c r="J14" s="1273"/>
      <c r="K14" s="1273"/>
      <c r="L14" s="1273"/>
      <c r="M14" s="1273"/>
      <c r="N14" s="1273"/>
      <c r="O14" s="1273"/>
      <c r="P14" s="789"/>
      <c r="Q14" s="789"/>
      <c r="R14" s="789"/>
      <c r="S14" s="789"/>
      <c r="T14" s="789"/>
      <c r="U14" s="789"/>
      <c r="V14" s="789"/>
      <c r="W14" s="788"/>
      <c r="X14" s="788"/>
      <c r="Y14" s="788"/>
      <c r="Z14" s="788"/>
      <c r="AA14" s="788"/>
      <c r="AB14" s="1258" t="str">
        <f>IF(BS15&lt;0,"negative result check inputs",IF($BS$16=0,"result is below 10th %ile",IF($BS$15&gt;$BS$16,"result is above 90th %ile","")))</f>
        <v/>
      </c>
      <c r="AC14" s="1258"/>
      <c r="AD14" s="1258"/>
      <c r="AE14" s="1258"/>
      <c r="AF14" s="794"/>
      <c r="AG14" s="790"/>
      <c r="AH14" s="792"/>
      <c r="AI14" s="792"/>
      <c r="AJ14" s="788"/>
      <c r="AK14" s="788"/>
      <c r="AL14" s="1258" t="str">
        <f>IF(BS22&lt;0,"negative result check inputs",IF($BS$23=0,"result is below 10th %ile",IF($BS$22&gt;$BS$23,"result is above 90th %ile","")))</f>
        <v/>
      </c>
      <c r="AM14" s="1258"/>
      <c r="AN14" s="1258"/>
      <c r="AO14" s="1258"/>
      <c r="AP14" s="788"/>
      <c r="AQ14" s="788"/>
      <c r="AR14" s="788"/>
      <c r="AS14" s="788"/>
      <c r="AT14" s="788"/>
      <c r="AU14" s="788"/>
      <c r="AV14" s="1258" t="str">
        <f>IF(BS29&lt;0,"negative result check inputs",IF($BS$30=0,"result is below 10th %ile",IF($BS$29&gt;$BS$30,"result is above 90th %ile","")))</f>
        <v/>
      </c>
      <c r="AW14" s="1258"/>
      <c r="AX14" s="1258"/>
      <c r="AY14" s="1258"/>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73"/>
      <c r="J15" s="1273"/>
      <c r="K15" s="1273"/>
      <c r="L15" s="1273"/>
      <c r="M15" s="1273"/>
      <c r="N15" s="1273"/>
      <c r="O15" s="1273"/>
      <c r="P15" s="789"/>
      <c r="Q15" s="789"/>
      <c r="R15" s="789"/>
      <c r="S15" s="789"/>
      <c r="T15" s="789"/>
      <c r="U15" s="789"/>
      <c r="V15" s="789"/>
      <c r="W15" s="788"/>
      <c r="X15" s="788"/>
      <c r="Y15" s="788"/>
      <c r="Z15" s="788"/>
      <c r="AA15" s="788"/>
      <c r="AB15" s="1258"/>
      <c r="AC15" s="1258"/>
      <c r="AD15" s="1258"/>
      <c r="AE15" s="1258"/>
      <c r="AF15" s="790"/>
      <c r="AG15" s="790"/>
      <c r="AH15" s="789"/>
      <c r="AI15" s="789"/>
      <c r="AJ15" s="789"/>
      <c r="AK15" s="788"/>
      <c r="AL15" s="1258"/>
      <c r="AM15" s="1258"/>
      <c r="AN15" s="1258"/>
      <c r="AO15" s="1258"/>
      <c r="AP15" s="788"/>
      <c r="AQ15" s="788"/>
      <c r="AR15" s="788"/>
      <c r="AS15" s="788"/>
      <c r="AT15" s="788"/>
      <c r="AU15" s="795"/>
      <c r="AV15" s="1258"/>
      <c r="AW15" s="1258"/>
      <c r="AX15" s="1258"/>
      <c r="AY15" s="1258"/>
      <c r="AZ15" s="789"/>
      <c r="BA15" s="789"/>
      <c r="BB15" s="418"/>
      <c r="BC15" s="138"/>
      <c r="BM15" s="765"/>
      <c r="BN15" s="769"/>
      <c r="BO15" s="832" t="s">
        <v>1022</v>
      </c>
      <c r="BP15" s="832"/>
      <c r="BR15" s="817" t="s">
        <v>1047</v>
      </c>
      <c r="BS15" s="848" t="str">
        <f>IF($BO$2&gt;0,"",IFERROR(SUM(N49:N50)/Worksheet!H62,""))</f>
        <v/>
      </c>
      <c r="BT15" s="833"/>
      <c r="BU15" s="945" t="s">
        <v>1043</v>
      </c>
      <c r="BV15" s="834"/>
      <c r="BW15" s="834"/>
      <c r="BX15" s="772"/>
    </row>
    <row r="16" spans="1:77" s="73" customFormat="1" ht="15" customHeight="1">
      <c r="A16" s="138"/>
      <c r="B16" s="410"/>
      <c r="D16" s="789"/>
      <c r="E16" s="996"/>
      <c r="F16" s="789"/>
      <c r="G16" s="789"/>
      <c r="H16" s="789"/>
      <c r="I16" s="1273"/>
      <c r="J16" s="1273"/>
      <c r="K16" s="1273"/>
      <c r="L16" s="1273"/>
      <c r="M16" s="1273"/>
      <c r="N16" s="1273"/>
      <c r="O16" s="1273"/>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t="str">
        <f>IF(BS15="","",IF(BS15&lt;BQ16,0,IF(BS15&gt;BQ20,BQ20,BS15)))</f>
        <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73"/>
      <c r="J17" s="1273"/>
      <c r="K17" s="1273"/>
      <c r="L17" s="1273"/>
      <c r="M17" s="1273"/>
      <c r="N17" s="1273"/>
      <c r="O17" s="1273"/>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59" t="str">
        <f>BS15</f>
        <v/>
      </c>
      <c r="AB18" s="1259"/>
      <c r="AC18" s="1259"/>
      <c r="AD18" s="1020" t="str">
        <f>BD13</f>
        <v>$/conn/year</v>
      </c>
      <c r="AE18" s="1021"/>
      <c r="AF18" s="1022"/>
      <c r="AG18" s="1022"/>
      <c r="AH18" s="1023"/>
      <c r="AI18" s="1023"/>
      <c r="AJ18" s="1021"/>
      <c r="AK18" s="1259" t="str">
        <f>BS22</f>
        <v/>
      </c>
      <c r="AL18" s="1259"/>
      <c r="AM18" s="1259"/>
      <c r="AN18" s="1020" t="str">
        <f>BD13</f>
        <v>$/conn/year</v>
      </c>
      <c r="AO18" s="1021"/>
      <c r="AP18" s="1021"/>
      <c r="AQ18" s="1021"/>
      <c r="AR18" s="1021"/>
      <c r="AS18" s="1021"/>
      <c r="AT18" s="1021"/>
      <c r="AU18" s="1259" t="str">
        <f>BS29</f>
        <v/>
      </c>
      <c r="AV18" s="1259"/>
      <c r="AW18" s="1259"/>
      <c r="AX18" s="1020" t="str">
        <f>BD13</f>
        <v>$/conn/year</v>
      </c>
      <c r="AY18" s="814"/>
      <c r="AZ18" s="789"/>
      <c r="BA18" s="789"/>
      <c r="BB18" s="418"/>
      <c r="BC18" s="138"/>
      <c r="BD18" s="73" t="s">
        <v>706</v>
      </c>
      <c r="BE18" s="290">
        <f>(((5.41*Worksheet!H61)+(0.15*Worksheet!H62)+(7.5*(Worksheet!H62*Worksheet!W67/5280)))*Worksheet!H68)/1000000*365</f>
        <v>0</v>
      </c>
      <c r="BM18" s="765"/>
      <c r="BN18" s="766"/>
      <c r="BO18" s="833" t="s">
        <v>1039</v>
      </c>
      <c r="BP18" s="835">
        <f>BQ18-BQ17</f>
        <v>8.9525318444022357</v>
      </c>
      <c r="BQ18" s="1054">
        <f t="shared" si="0"/>
        <v>18.283980813778896</v>
      </c>
      <c r="BR18" s="833" t="s">
        <v>779</v>
      </c>
      <c r="BS18" s="837">
        <f>SUM(BP16:BP20)-SUM(BS16,BS17)</f>
        <v>114.67797858673612</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0</v>
      </c>
      <c r="BF19" s="289" t="e">
        <f>BE19*325851.427242/Worksheet!H62/365</f>
        <v>#DIV/0!</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0</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t="str">
        <f>IF($BO$2&gt;0,"",IFERROR(N49/Worksheet!H62,""))</f>
        <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t="str">
        <f>IF(BS22="","",IF(BS22&lt;BQ23,0,IF(BS22&gt;BQ27,BQ27,BS22)))</f>
        <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8" t="str">
        <f>IF(BS36&lt;0,"negative result check inputs",IF($BS$37=0,"result is below 10th %ile",IF($BS$36&gt;$BS$37,"result is above 90th %ile","")))</f>
        <v/>
      </c>
      <c r="AC25" s="1258"/>
      <c r="AD25" s="1258"/>
      <c r="AE25" s="1258"/>
      <c r="AF25" s="790"/>
      <c r="AG25" s="790"/>
      <c r="AH25" s="792"/>
      <c r="AI25" s="792"/>
      <c r="AJ25" s="797"/>
      <c r="AK25" s="788"/>
      <c r="AL25" s="1258" t="str">
        <f>IF(BS43&lt;0,"negative result check inputs",IF($BS$44=0,"result is below 10th %ile",IF($BS$43&gt;$BS$44,"result is above 90th %ile","")))</f>
        <v/>
      </c>
      <c r="AM25" s="1258"/>
      <c r="AN25" s="1258"/>
      <c r="AO25" s="1258"/>
      <c r="AP25" s="788"/>
      <c r="AQ25" s="788"/>
      <c r="AR25" s="788"/>
      <c r="AS25" s="788"/>
      <c r="AT25" s="788"/>
      <c r="AU25" s="795"/>
      <c r="AV25" s="1258" t="str">
        <f>IF(BS55&lt;0,"negative result check inputs",IF($BS$56=0,"result is below 10th %ile",IF($BS$55&gt;$BS$56,"result is above 90th %ile","")))</f>
        <v/>
      </c>
      <c r="AW25" s="1258"/>
      <c r="AX25" s="1258"/>
      <c r="AY25" s="1258"/>
      <c r="AZ25" s="789"/>
      <c r="BA25" s="789"/>
      <c r="BB25" s="412"/>
      <c r="BC25" s="138"/>
      <c r="BM25" s="765"/>
      <c r="BN25" s="766"/>
      <c r="BO25" s="833" t="s">
        <v>1039</v>
      </c>
      <c r="BP25" s="835">
        <f>BQ25-BQ24</f>
        <v>5.2798362211473915</v>
      </c>
      <c r="BQ25" s="1054">
        <f t="shared" si="1"/>
        <v>6.1547896930365926</v>
      </c>
      <c r="BR25" s="833" t="s">
        <v>779</v>
      </c>
      <c r="BS25" s="837">
        <f>SUM(BP23:BP27)-SUM(BS23,BS24)</f>
        <v>48.078421653643112</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8"/>
      <c r="AC26" s="1258"/>
      <c r="AD26" s="1258"/>
      <c r="AE26" s="1258"/>
      <c r="AF26" s="790"/>
      <c r="AG26" s="790"/>
      <c r="AH26" s="792"/>
      <c r="AI26" s="792"/>
      <c r="AJ26" s="797"/>
      <c r="AK26" s="788"/>
      <c r="AL26" s="1258"/>
      <c r="AM26" s="1258"/>
      <c r="AN26" s="1258"/>
      <c r="AO26" s="1258"/>
      <c r="AP26" s="788"/>
      <c r="AQ26" s="788"/>
      <c r="AR26" s="788"/>
      <c r="AS26" s="788"/>
      <c r="AT26" s="788"/>
      <c r="AU26" s="795"/>
      <c r="AV26" s="1258"/>
      <c r="AW26" s="1258"/>
      <c r="AX26" s="1258"/>
      <c r="AY26" s="1258"/>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7</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0</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t="str">
        <f>BS36</f>
        <v/>
      </c>
      <c r="AB29" s="1263"/>
      <c r="AC29" s="1263"/>
      <c r="AD29" s="1019" t="str">
        <f>BD10</f>
        <v/>
      </c>
      <c r="AE29" s="1019"/>
      <c r="AF29" s="1024"/>
      <c r="AG29" s="1024"/>
      <c r="AH29" s="813"/>
      <c r="AI29" s="813"/>
      <c r="AJ29" s="813"/>
      <c r="AK29" s="1263" t="str">
        <f>BS43</f>
        <v/>
      </c>
      <c r="AL29" s="1263"/>
      <c r="AM29" s="1263"/>
      <c r="AN29" s="1020" t="str">
        <f>BD10</f>
        <v/>
      </c>
      <c r="AO29" s="813"/>
      <c r="AP29" s="813"/>
      <c r="AQ29" s="813"/>
      <c r="AR29" s="813"/>
      <c r="AS29" s="813"/>
      <c r="AT29" s="813"/>
      <c r="AU29" s="1269" t="str">
        <f>BS55</f>
        <v/>
      </c>
      <c r="AV29" s="1269"/>
      <c r="AW29" s="1269"/>
      <c r="AX29" s="1020" t="str">
        <f>BD10</f>
        <v/>
      </c>
      <c r="AY29" s="813"/>
      <c r="AZ29" s="789"/>
      <c r="BA29" s="789"/>
      <c r="BB29" s="412"/>
      <c r="BC29" s="138"/>
      <c r="BD29" s="1027" t="b">
        <f>IF('Interactive Data Grading'!D465=VPC!C28,TRUE,FALSE)</f>
        <v>0</v>
      </c>
      <c r="BE29" s="73" t="s">
        <v>140</v>
      </c>
      <c r="BM29" s="765"/>
      <c r="BN29" s="765"/>
      <c r="BO29" s="832" t="s">
        <v>1024</v>
      </c>
      <c r="BP29" s="832"/>
      <c r="BQ29" s="832"/>
      <c r="BR29" s="817" t="s">
        <v>1047</v>
      </c>
      <c r="BS29" s="848" t="str">
        <f>IF($BO$2&gt;0,"",IFERROR(N50/Worksheet!H62,""))</f>
        <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t="str">
        <f>IF(BS29="","",IF(BS29&lt;BQ30,0,IF(BS29&gt;BQ34,BQ34,BS29)))</f>
        <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70" t="str">
        <f>IF(input_AOP="","",input_AOP)</f>
        <v/>
      </c>
      <c r="Y32" s="1270"/>
      <c r="Z32" s="1077" t="str">
        <f>Worksheet!J68</f>
        <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70.525930416536013</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71" t="str">
        <f>IF(BQ83=0,"",IF(BQ83&lt;BQ78,"AOP is below 10th %ile",IF(BQ83&gt;BQ82,"AOP is above 90th %ile","")))</f>
        <v/>
      </c>
      <c r="AC33" s="1271"/>
      <c r="AD33" s="1271"/>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71"/>
      <c r="AC34" s="1271"/>
      <c r="AD34" s="1271"/>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t="str">
        <f>IF($BO$2&gt;0,"",IFERROR((BS55+BS43),""))</f>
        <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8" t="str">
        <f>IF(BS62&lt;0,"negative result check inputs",IF($BS$63=0,"result is below 10th %ile",IF($BS$62&gt;$BS$63,"result is above 90th %ile","")))</f>
        <v/>
      </c>
      <c r="AJ37" s="1258"/>
      <c r="AK37" s="1258"/>
      <c r="AL37" s="1258"/>
      <c r="AM37" s="788"/>
      <c r="AN37" s="788"/>
      <c r="AO37" s="788"/>
      <c r="AP37" s="788"/>
      <c r="AQ37" s="788"/>
      <c r="AR37" s="788"/>
      <c r="AS37" s="788"/>
      <c r="AT37" s="1258" t="str">
        <f>IF(BS69&lt;0,"negative result check inputs",IF($BS$70=0,"result is below 10th %ile",IF($BS$69&gt;$BS$70,"result is above 90th %ile","")))</f>
        <v/>
      </c>
      <c r="AU37" s="1258"/>
      <c r="AV37" s="1258"/>
      <c r="AW37" s="1258"/>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t="str">
        <f>IF(BS36="","",IF(BS36&lt;BQ37,0,IF(BS36&gt;BQ41,BQ41,BS36)))</f>
        <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8"/>
      <c r="AJ38" s="1258"/>
      <c r="AK38" s="1258"/>
      <c r="AL38" s="1258"/>
      <c r="AM38" s="788"/>
      <c r="AN38" s="788"/>
      <c r="AO38" s="788"/>
      <c r="AP38" s="788"/>
      <c r="AQ38" s="788"/>
      <c r="AR38" s="788"/>
      <c r="AS38" s="788"/>
      <c r="AT38" s="1258"/>
      <c r="AU38" s="1258"/>
      <c r="AV38" s="1258"/>
      <c r="AW38" s="1258"/>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248.29958819116263</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68" t="str">
        <f>BS62</f>
        <v/>
      </c>
      <c r="AI41" s="1268"/>
      <c r="AJ41" s="1268"/>
      <c r="AK41" s="1019" t="s">
        <v>1048</v>
      </c>
      <c r="AL41" s="938"/>
      <c r="AM41" s="939"/>
      <c r="AN41" s="940"/>
      <c r="AO41" s="940"/>
      <c r="AP41" s="940"/>
      <c r="AQ41" s="940"/>
      <c r="AR41" s="940"/>
      <c r="AS41" s="1267" t="str">
        <f>BS69</f>
        <v/>
      </c>
      <c r="AT41" s="1267"/>
      <c r="AU41" s="1267"/>
      <c r="AV41" s="1019" t="str">
        <f>BD11</f>
        <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64" t="s">
        <v>1198</v>
      </c>
      <c r="AA43" s="1264"/>
      <c r="AB43" s="1264"/>
      <c r="AC43" s="1264"/>
      <c r="AD43" s="1264"/>
      <c r="AE43" s="1264"/>
      <c r="AF43" s="1264"/>
      <c r="AG43" s="1264"/>
      <c r="AH43" s="1264"/>
      <c r="AI43" s="1264"/>
      <c r="AJ43" s="1264"/>
      <c r="AK43" s="1265" t="str">
        <f>IF(OR(ISBLANK('Start Page'!$AB$22),LEN(Worksheet!C70)&gt;0),"",VLOOKUP(BD7,BD18:BE20,2,FALSE))</f>
        <v/>
      </c>
      <c r="AL43" s="1265"/>
      <c r="AM43" s="1265"/>
      <c r="AN43" s="1265"/>
      <c r="AO43" s="1071" t="str">
        <f>BD7</f>
        <v/>
      </c>
      <c r="AP43" s="813"/>
      <c r="AQ43" s="813"/>
      <c r="AR43" s="813"/>
      <c r="AS43" s="1265" t="str">
        <f>IF(BG19=1,BF19,IFERROR(AK43*1000000/Worksheet!H62/365,""))</f>
        <v/>
      </c>
      <c r="AT43" s="1265"/>
      <c r="AU43" s="1265"/>
      <c r="AV43" s="1265"/>
      <c r="AW43" s="810" t="str">
        <f>BD10</f>
        <v/>
      </c>
      <c r="AX43" s="813"/>
      <c r="AY43" s="813"/>
      <c r="AZ43" s="813"/>
      <c r="BA43" s="789"/>
      <c r="BB43" s="412"/>
      <c r="BC43" s="138"/>
      <c r="BD43" s="284"/>
      <c r="BM43" s="765"/>
      <c r="BN43" s="765"/>
      <c r="BO43" s="832" t="s">
        <v>955</v>
      </c>
      <c r="BP43" s="832"/>
      <c r="BQ43" s="832"/>
      <c r="BR43" s="817" t="s">
        <v>1047</v>
      </c>
      <c r="BS43" s="849" t="str">
        <f>IF($BO$2&gt;0,"",IF(ISERROR(1/Worksheet!H62),"",IF('Start Page'!$AB$22="Acre-feet",Worksheet!H46*325851/1000000,Worksheet!H46)*1000000/365/Worksheet!H62))</f>
        <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t="str">
        <f>IF(BS43="","",IF(BS43&lt;BQ44,0,IF(BS43&gt;BQ48,BQ48,BS43)))</f>
        <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32.38086259525317</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77" t="s">
        <v>684</v>
      </c>
      <c r="J47" s="1277"/>
      <c r="K47" s="1277"/>
      <c r="L47" s="1277"/>
      <c r="M47" s="810"/>
      <c r="N47" s="1277" t="s">
        <v>685</v>
      </c>
      <c r="O47" s="1277"/>
      <c r="P47" s="1277"/>
      <c r="Q47" s="1277"/>
      <c r="R47" s="1272" t="s">
        <v>956</v>
      </c>
      <c r="S47" s="1272"/>
      <c r="T47" s="1272"/>
      <c r="U47" s="1272"/>
      <c r="V47" s="1272"/>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77" t="str">
        <f>BD7</f>
        <v/>
      </c>
      <c r="J48" s="1277"/>
      <c r="K48" s="1277"/>
      <c r="L48" s="1277"/>
      <c r="M48" s="810"/>
      <c r="N48" s="1277" t="s">
        <v>683</v>
      </c>
      <c r="O48" s="1277"/>
      <c r="P48" s="1277"/>
      <c r="Q48" s="1277"/>
      <c r="R48" s="1272"/>
      <c r="S48" s="1272"/>
      <c r="T48" s="1272"/>
      <c r="U48" s="1272"/>
      <c r="V48" s="1272"/>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75" t="str">
        <f>IF(ISBLANK('Start Page'!$AB$22),"",Worksheet!H46)</f>
        <v/>
      </c>
      <c r="J49" s="1275"/>
      <c r="K49" s="1275"/>
      <c r="L49" s="1275"/>
      <c r="M49" s="795"/>
      <c r="N49" s="1276" t="str">
        <f>IF(OR(ISBLANK('Start Page'!$AB$22),ISBLANK(Worksheet!J76)),"",(SUM(Worksheet!H43+Worksheet!H39+Worksheet!X50)*Worksheet!H76)*INDEX(Sheet1!B2:D4,MATCH('Start Page'!AB22,Sheet1!A2:A4,0),MATCH(Worksheet!J76,Sheet1!B1:D1,0))+Worksheet!Y50*Worksheet!H77)</f>
        <v/>
      </c>
      <c r="O49" s="1276"/>
      <c r="P49" s="1276"/>
      <c r="Q49" s="1276"/>
      <c r="R49" s="1266" t="s">
        <v>912</v>
      </c>
      <c r="S49" s="1266"/>
      <c r="T49" s="1266"/>
      <c r="U49" s="1266"/>
      <c r="V49" s="1266"/>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75" t="str">
        <f>IF(ISBLANK('Start Page'!$AB$22),"",Worksheet!H51)</f>
        <v/>
      </c>
      <c r="J50" s="1275"/>
      <c r="K50" s="1275"/>
      <c r="L50" s="1275"/>
      <c r="M50" s="795"/>
      <c r="N50" s="1276" t="str">
        <f>IFERROR(IF(Worksheet!H41="Select under/over","",IF(ISBLANK('Start Page'!AB22),"",Worksheet!H51*(IF(BD29=FALSE,Worksheet!H77,IF(BD29=TRUE,Worksheet!H76*INDEX(Sheet1!B2:D4,MATCH('Start Page'!AB22,Sheet1!A2:A4,0),MATCH(Worksheet!J76,Sheet1!B1:D1,0)),""))))),"")</f>
        <v/>
      </c>
      <c r="O50" s="1276"/>
      <c r="P50" s="1276"/>
      <c r="Q50" s="1276"/>
      <c r="R50" s="1266" t="str">
        <f>IF(BD29=FALSE,"VPC",R49)</f>
        <v>VPC</v>
      </c>
      <c r="S50" s="1266"/>
      <c r="T50" s="1266"/>
      <c r="U50" s="1266"/>
      <c r="V50" s="1266"/>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75" t="str">
        <f>IF(ISBLANK('Start Page'!$AB$22),"",SUM(Worksheet!H25:H26))</f>
        <v/>
      </c>
      <c r="J51" s="1275"/>
      <c r="K51" s="1275"/>
      <c r="L51" s="1275"/>
      <c r="M51" s="795"/>
      <c r="N51" s="1276" t="str">
        <f>IFERROR(IF(SUM(Sheet1!D90:D91)=0,"",SUM(Sheet1!D90:D91)),"")</f>
        <v/>
      </c>
      <c r="O51" s="1276"/>
      <c r="P51" s="1276"/>
      <c r="Q51" s="1276"/>
      <c r="R51" s="1266" t="str">
        <f>IF(BD29=FALSE,"VPC",R49)</f>
        <v>VPC</v>
      </c>
      <c r="S51" s="1266"/>
      <c r="T51" s="1266"/>
      <c r="U51" s="1266"/>
      <c r="V51" s="1266"/>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75" t="str">
        <f>IF(SUM(I49:I51)=0,"",SUM(I49:I51))</f>
        <v/>
      </c>
      <c r="J52" s="1275"/>
      <c r="K52" s="1275"/>
      <c r="L52" s="1275"/>
      <c r="M52" s="795"/>
      <c r="N52" s="1276" t="str">
        <f>IF(SUM(N49:N51)=0,"",SUM(N49:N51))</f>
        <v/>
      </c>
      <c r="O52" s="1276"/>
      <c r="P52" s="1276"/>
      <c r="Q52" s="1276"/>
      <c r="R52" s="1274" t="str">
        <f>IF(BD29=FALSE,"Blended",R49)</f>
        <v>Blended</v>
      </c>
      <c r="S52" s="1274"/>
      <c r="T52" s="1274"/>
      <c r="U52" s="1274"/>
      <c r="V52" s="1274"/>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t="str">
        <f>IF($BO$2&gt;0,"",IF(Worksheet!H51="","",IF(ISERROR(1/Worksheet!H62),"",IF('Start Page'!$AB$22="Megalitres (thousand cubic metres)",Worksheet!H51*1000000/365/Worksheet!H62,IF('Start Page'!$AB$22="Million gallons (US)",Worksheet!H51*1000000,Worksheet!H51*325851)/365/Worksheet!H62))))</f>
        <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t="str">
        <f>IF(BS55="","",IF(BS55&lt;BQ56,0,IF(BS55&gt;BQ60,BQ60,BS55)))</f>
        <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229.01903234921301</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t="str">
        <f>IF($BO$2&gt;0,"",IFERROR(IF(ISERROR(1/AK43),"",I50/AK43),""))</f>
        <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t="str">
        <f>IF(BS62="","",IF(BS62&lt;BQ63,0,IF(BS62&gt;BQ67,BQ67,BS62)))</f>
        <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11.266177727169243</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t="str">
        <f>IF($BO$2&gt;0,"",IF(Worksheet!H51="","",IF(ISERROR(1/Worksheet!H61),"",IF('Start Page'!$AB$22="Acre-feet",Worksheet!H51*325851/1000000,Worksheet!H51)*1000000/365/Worksheet!H61)))</f>
        <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t="str">
        <f>IF(BS69="","",IF(BS69&lt;BQ70,0,IF(BS69&gt;BQ74,BQ74,BS69)))</f>
        <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12051.068909700503</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-52.334191473572488</v>
      </c>
      <c r="BQ83" s="850">
        <f>BP83+BQ78</f>
        <v>0</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85" t="s">
        <v>883</v>
      </c>
      <c r="C2" s="1285"/>
      <c r="D2" s="1285"/>
      <c r="E2" s="1285"/>
      <c r="F2" s="1285"/>
      <c r="G2" s="1285"/>
      <c r="H2" s="1285"/>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&lt;&lt; Please enter system details on the Start Page &gt;&gt;</v>
      </c>
      <c r="H4" s="1040" t="str">
        <f>IF(ISBLANK('Start Page'!AB19),"",'Start Page'!AB19)</f>
        <v/>
      </c>
    </row>
    <row r="5" spans="2:21" ht="13.35" customHeight="1">
      <c r="F5" s="323" t="s">
        <v>714</v>
      </c>
      <c r="G5" s="1040" t="str">
        <f>IF(ISBLANK('Start Page'!AB18),"",'Start Page'!AB18)</f>
        <v/>
      </c>
      <c r="H5" s="1040" t="str">
        <f>IF(ISBLANK('Start Page'!AB20),"",TEXT('Start Page'!AB20,"mmm dd yyyy")&amp;" - "&amp;TEXT('Start Page'!AB21,"mmm dd yyyy"))</f>
        <v/>
      </c>
    </row>
    <row r="6" spans="2:21" ht="7.35" customHeight="1">
      <c r="F6" s="721"/>
      <c r="G6" s="721"/>
      <c r="H6" s="721"/>
    </row>
    <row r="7" spans="2:21" ht="56.45" customHeight="1">
      <c r="F7" s="605" t="s">
        <v>884</v>
      </c>
      <c r="G7" s="1284"/>
      <c r="H7" s="1284"/>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78" t="s">
        <v>1137</v>
      </c>
      <c r="G10" s="1281"/>
      <c r="H10" s="1281"/>
    </row>
    <row r="11" spans="2:21" ht="28.9" customHeight="1">
      <c r="B11" s="989" t="s">
        <v>1154</v>
      </c>
      <c r="C11" s="988"/>
      <c r="D11" s="989" t="s">
        <v>1155</v>
      </c>
      <c r="F11" s="1279"/>
      <c r="G11" s="1282"/>
      <c r="H11" s="1282"/>
      <c r="J11" s="420"/>
      <c r="K11" s="420"/>
      <c r="L11" s="420"/>
      <c r="M11" s="420"/>
      <c r="N11" s="420"/>
      <c r="O11" s="420"/>
      <c r="P11" s="420"/>
      <c r="Q11" s="420"/>
      <c r="R11" s="420"/>
      <c r="S11" s="420"/>
      <c r="T11" s="420"/>
      <c r="U11" s="421"/>
    </row>
    <row r="12" spans="2:21" ht="28.9" customHeight="1">
      <c r="B12" s="987"/>
      <c r="C12" s="988"/>
      <c r="D12" s="987"/>
      <c r="F12" s="1280"/>
      <c r="G12" s="1283"/>
      <c r="H12" s="1283"/>
      <c r="J12" s="979"/>
      <c r="K12" s="979"/>
      <c r="L12" s="979"/>
      <c r="M12" s="979"/>
      <c r="N12" s="979"/>
      <c r="O12" s="979"/>
      <c r="P12" s="979"/>
      <c r="Q12" s="979"/>
      <c r="R12" s="979"/>
      <c r="S12" s="979"/>
      <c r="T12" s="979"/>
      <c r="U12" s="979"/>
    </row>
    <row r="13" spans="2:21" ht="28.9" customHeight="1">
      <c r="B13" s="987"/>
      <c r="C13" s="988"/>
      <c r="D13" s="987"/>
      <c r="F13" s="1278" t="s">
        <v>1138</v>
      </c>
      <c r="G13" s="1281"/>
      <c r="H13" s="1281"/>
      <c r="J13" s="979"/>
      <c r="K13" s="979"/>
      <c r="L13" s="979"/>
      <c r="M13" s="979"/>
      <c r="N13" s="979"/>
      <c r="O13" s="979"/>
      <c r="P13" s="979"/>
      <c r="Q13" s="979"/>
      <c r="R13" s="979"/>
      <c r="S13" s="979"/>
      <c r="T13" s="979"/>
      <c r="U13" s="979"/>
    </row>
    <row r="14" spans="2:21" ht="28.9" customHeight="1">
      <c r="B14" s="989" t="s">
        <v>1154</v>
      </c>
      <c r="C14" s="988"/>
      <c r="D14" s="989" t="s">
        <v>1155</v>
      </c>
      <c r="F14" s="1279"/>
      <c r="G14" s="1282"/>
      <c r="H14" s="1282"/>
    </row>
    <row r="15" spans="2:21" ht="28.9" customHeight="1">
      <c r="B15" s="990"/>
      <c r="C15" s="988"/>
      <c r="D15" s="990"/>
      <c r="F15" s="1280"/>
      <c r="G15" s="1283"/>
      <c r="H15" s="1283"/>
    </row>
    <row r="16" spans="2:21" ht="28.9" customHeight="1">
      <c r="B16" s="987"/>
      <c r="C16" s="988"/>
      <c r="D16" s="987"/>
      <c r="F16" s="1278" t="s">
        <v>1139</v>
      </c>
      <c r="G16" s="1286"/>
      <c r="H16" s="1286"/>
    </row>
    <row r="17" spans="2:8" ht="28.9" customHeight="1">
      <c r="B17" s="989" t="s">
        <v>1154</v>
      </c>
      <c r="C17" s="988"/>
      <c r="D17" s="989" t="s">
        <v>1155</v>
      </c>
      <c r="F17" s="1279"/>
      <c r="G17" s="1287"/>
      <c r="H17" s="1287"/>
    </row>
    <row r="18" spans="2:8" ht="28.9" customHeight="1">
      <c r="B18" s="987"/>
      <c r="C18" s="988"/>
      <c r="D18" s="987"/>
      <c r="F18" s="1280"/>
      <c r="G18" s="1288"/>
      <c r="H18" s="1288"/>
    </row>
    <row r="19" spans="2:8" ht="28.9" customHeight="1">
      <c r="B19" s="987"/>
      <c r="C19" s="988"/>
      <c r="D19" s="987"/>
      <c r="F19" s="1278" t="s">
        <v>1140</v>
      </c>
      <c r="G19" s="1286"/>
      <c r="H19" s="1286"/>
    </row>
    <row r="20" spans="2:8" ht="28.9" customHeight="1">
      <c r="B20" s="989" t="s">
        <v>1154</v>
      </c>
      <c r="C20" s="988"/>
      <c r="D20" s="989" t="s">
        <v>1155</v>
      </c>
      <c r="F20" s="1279"/>
      <c r="G20" s="1287"/>
      <c r="H20" s="1287"/>
    </row>
    <row r="21" spans="2:8" ht="28.9" customHeight="1">
      <c r="B21" s="987"/>
      <c r="C21" s="988"/>
      <c r="D21" s="987"/>
      <c r="F21" s="1280"/>
      <c r="G21" s="1288"/>
      <c r="H21" s="1288"/>
    </row>
    <row r="22" spans="2:8" ht="28.9" customHeight="1">
      <c r="B22" s="987"/>
      <c r="C22" s="988"/>
      <c r="D22" s="987"/>
      <c r="F22" s="1278" t="s">
        <v>1131</v>
      </c>
      <c r="G22" s="1286"/>
      <c r="H22" s="1286"/>
    </row>
    <row r="23" spans="2:8" ht="28.9" customHeight="1">
      <c r="B23" s="989" t="s">
        <v>1154</v>
      </c>
      <c r="C23" s="988"/>
      <c r="D23" s="989" t="s">
        <v>1155</v>
      </c>
      <c r="F23" s="1279"/>
      <c r="G23" s="1287"/>
      <c r="H23" s="1287"/>
    </row>
    <row r="24" spans="2:8" ht="28.9" customHeight="1">
      <c r="B24" s="987"/>
      <c r="C24" s="988"/>
      <c r="D24" s="987"/>
      <c r="F24" s="1280"/>
      <c r="G24" s="1288"/>
      <c r="H24" s="1288"/>
    </row>
    <row r="25" spans="2:8" ht="28.9" customHeight="1">
      <c r="B25" s="987"/>
      <c r="C25" s="988"/>
      <c r="D25" s="987"/>
      <c r="F25" s="1278" t="s">
        <v>1141</v>
      </c>
      <c r="G25" s="1289"/>
      <c r="H25" s="1289"/>
    </row>
    <row r="26" spans="2:8" ht="28.9" customHeight="1">
      <c r="B26" s="989" t="s">
        <v>1154</v>
      </c>
      <c r="C26" s="988"/>
      <c r="D26" s="989" t="s">
        <v>1155</v>
      </c>
      <c r="F26" s="1279"/>
      <c r="G26" s="1290"/>
      <c r="H26" s="1290"/>
    </row>
    <row r="27" spans="2:8" ht="28.9" customHeight="1">
      <c r="B27" s="987"/>
      <c r="C27" s="988"/>
      <c r="D27" s="987"/>
      <c r="F27" s="1280"/>
      <c r="G27" s="1291"/>
      <c r="H27" s="1291"/>
    </row>
    <row r="28" spans="2:8" ht="28.9" customHeight="1">
      <c r="B28" s="987"/>
      <c r="C28" s="988"/>
      <c r="D28" s="987"/>
      <c r="F28" s="1278" t="s">
        <v>1142</v>
      </c>
      <c r="G28" s="1286"/>
      <c r="H28" s="1286"/>
    </row>
    <row r="29" spans="2:8" ht="28.9" customHeight="1">
      <c r="B29" s="989" t="s">
        <v>1154</v>
      </c>
      <c r="C29" s="988"/>
      <c r="D29" s="989" t="s">
        <v>1155</v>
      </c>
      <c r="F29" s="1279"/>
      <c r="G29" s="1287"/>
      <c r="H29" s="1287"/>
    </row>
    <row r="30" spans="2:8" ht="28.9" customHeight="1">
      <c r="B30" s="987"/>
      <c r="C30" s="988"/>
      <c r="D30" s="987"/>
      <c r="F30" s="1280"/>
      <c r="G30" s="1288"/>
      <c r="H30" s="1288"/>
    </row>
    <row r="31" spans="2:8" ht="28.9" customHeight="1">
      <c r="B31" s="987"/>
      <c r="C31" s="988"/>
      <c r="D31" s="987"/>
      <c r="F31" s="1278" t="s">
        <v>1143</v>
      </c>
      <c r="G31" s="1286"/>
      <c r="H31" s="1286"/>
    </row>
    <row r="32" spans="2:8" ht="28.9" customHeight="1">
      <c r="B32" s="989" t="s">
        <v>1154</v>
      </c>
      <c r="C32" s="988"/>
      <c r="D32" s="989" t="s">
        <v>1155</v>
      </c>
      <c r="F32" s="1279"/>
      <c r="G32" s="1287"/>
      <c r="H32" s="1287"/>
    </row>
    <row r="33" spans="2:8" ht="28.9" customHeight="1">
      <c r="B33" s="987"/>
      <c r="C33" s="988"/>
      <c r="D33" s="987"/>
      <c r="F33" s="1280"/>
      <c r="G33" s="1288"/>
      <c r="H33" s="1288"/>
    </row>
    <row r="34" spans="2:8" ht="28.9" customHeight="1">
      <c r="B34" s="987"/>
      <c r="C34" s="988"/>
      <c r="D34" s="987"/>
      <c r="F34" s="1278" t="s">
        <v>1144</v>
      </c>
      <c r="G34" s="1289"/>
      <c r="H34" s="1289"/>
    </row>
    <row r="35" spans="2:8" ht="28.9" customHeight="1">
      <c r="B35" s="989" t="s">
        <v>1154</v>
      </c>
      <c r="C35" s="988"/>
      <c r="D35" s="989" t="s">
        <v>1155</v>
      </c>
      <c r="F35" s="1279"/>
      <c r="G35" s="1290"/>
      <c r="H35" s="1290"/>
    </row>
    <row r="36" spans="2:8" ht="28.9" customHeight="1">
      <c r="B36" s="987"/>
      <c r="C36" s="988"/>
      <c r="D36" s="987"/>
      <c r="F36" s="1280"/>
      <c r="G36" s="1291"/>
      <c r="H36" s="1291"/>
    </row>
    <row r="37" spans="2:8" ht="28.9" customHeight="1">
      <c r="B37" s="987"/>
      <c r="C37" s="988"/>
      <c r="D37" s="987"/>
      <c r="F37" s="1278" t="s">
        <v>1145</v>
      </c>
      <c r="G37" s="1289"/>
      <c r="H37" s="1289"/>
    </row>
    <row r="38" spans="2:8" ht="28.9" customHeight="1">
      <c r="B38" s="989" t="s">
        <v>1154</v>
      </c>
      <c r="C38" s="988"/>
      <c r="D38" s="989" t="s">
        <v>1155</v>
      </c>
      <c r="F38" s="1279"/>
      <c r="G38" s="1290"/>
      <c r="H38" s="1290"/>
    </row>
    <row r="39" spans="2:8" ht="28.9" customHeight="1">
      <c r="B39" s="987"/>
      <c r="C39" s="988"/>
      <c r="D39" s="987"/>
      <c r="F39" s="1280"/>
      <c r="G39" s="1291"/>
      <c r="H39" s="1291"/>
    </row>
    <row r="40" spans="2:8" ht="28.9" customHeight="1">
      <c r="B40" s="987"/>
      <c r="C40" s="988"/>
      <c r="D40" s="987"/>
      <c r="F40" s="1278" t="s">
        <v>1146</v>
      </c>
      <c r="G40" s="1289"/>
      <c r="H40" s="1289"/>
    </row>
    <row r="41" spans="2:8" ht="28.9" customHeight="1">
      <c r="B41" s="989" t="s">
        <v>1154</v>
      </c>
      <c r="C41" s="988"/>
      <c r="D41" s="989" t="s">
        <v>1155</v>
      </c>
      <c r="F41" s="1279"/>
      <c r="G41" s="1290"/>
      <c r="H41" s="1290"/>
    </row>
    <row r="42" spans="2:8" ht="28.9" customHeight="1">
      <c r="B42" s="987"/>
      <c r="C42" s="988"/>
      <c r="D42" s="987"/>
      <c r="F42" s="1280"/>
      <c r="G42" s="1291"/>
      <c r="H42" s="1291"/>
    </row>
    <row r="43" spans="2:8" ht="28.9" customHeight="1">
      <c r="B43" s="987"/>
      <c r="C43" s="988"/>
      <c r="D43" s="987"/>
      <c r="F43" s="1278" t="s">
        <v>1147</v>
      </c>
      <c r="G43" s="1289"/>
      <c r="H43" s="1289"/>
    </row>
    <row r="44" spans="2:8" ht="28.9" customHeight="1">
      <c r="B44" s="989" t="s">
        <v>1154</v>
      </c>
      <c r="C44" s="988"/>
      <c r="D44" s="989" t="s">
        <v>1155</v>
      </c>
      <c r="F44" s="1279"/>
      <c r="G44" s="1290"/>
      <c r="H44" s="1290"/>
    </row>
    <row r="45" spans="2:8" ht="28.9" customHeight="1">
      <c r="B45" s="987"/>
      <c r="C45" s="988"/>
      <c r="D45" s="987"/>
      <c r="F45" s="1280"/>
      <c r="G45" s="1291"/>
      <c r="H45" s="1291"/>
    </row>
    <row r="46" spans="2:8" ht="28.9" customHeight="1">
      <c r="B46" s="987"/>
      <c r="C46" s="988"/>
      <c r="D46" s="987"/>
      <c r="F46" s="1278" t="s">
        <v>1148</v>
      </c>
      <c r="G46" s="1289"/>
      <c r="H46" s="1289"/>
    </row>
    <row r="47" spans="2:8" ht="28.9" customHeight="1">
      <c r="B47" s="989" t="s">
        <v>1154</v>
      </c>
      <c r="C47" s="988"/>
      <c r="D47" s="989" t="s">
        <v>1155</v>
      </c>
      <c r="F47" s="1279"/>
      <c r="G47" s="1290"/>
      <c r="H47" s="1290"/>
    </row>
    <row r="48" spans="2:8" ht="28.9" customHeight="1">
      <c r="B48" s="987"/>
      <c r="C48" s="988"/>
      <c r="D48" s="987"/>
      <c r="F48" s="1280"/>
      <c r="G48" s="1291"/>
      <c r="H48" s="1291"/>
    </row>
    <row r="49" spans="2:8" ht="28.9" customHeight="1">
      <c r="B49" s="987"/>
      <c r="C49" s="988"/>
      <c r="D49" s="987"/>
      <c r="F49" s="1278" t="s">
        <v>1125</v>
      </c>
      <c r="G49" s="1289"/>
      <c r="H49" s="1289"/>
    </row>
    <row r="50" spans="2:8" ht="28.9" customHeight="1">
      <c r="B50" s="989" t="s">
        <v>1154</v>
      </c>
      <c r="C50" s="988"/>
      <c r="D50" s="989" t="s">
        <v>1155</v>
      </c>
      <c r="F50" s="1279"/>
      <c r="G50" s="1290"/>
      <c r="H50" s="1290"/>
    </row>
    <row r="51" spans="2:8" ht="28.9" customHeight="1">
      <c r="B51" s="987"/>
      <c r="C51" s="988"/>
      <c r="D51" s="987"/>
      <c r="F51" s="1280"/>
      <c r="G51" s="1291"/>
      <c r="H51" s="1291"/>
    </row>
    <row r="52" spans="2:8" ht="28.9" customHeight="1">
      <c r="B52" s="987"/>
      <c r="C52" s="988"/>
      <c r="D52" s="987"/>
      <c r="F52" s="1278" t="s">
        <v>1149</v>
      </c>
      <c r="G52" s="1289"/>
      <c r="H52" s="1289"/>
    </row>
    <row r="53" spans="2:8" ht="28.9" customHeight="1">
      <c r="B53" s="989" t="s">
        <v>1154</v>
      </c>
      <c r="C53" s="988"/>
      <c r="D53" s="989" t="s">
        <v>1155</v>
      </c>
      <c r="F53" s="1279"/>
      <c r="G53" s="1290"/>
      <c r="H53" s="1290"/>
    </row>
    <row r="54" spans="2:8" ht="28.9" customHeight="1">
      <c r="B54" s="987"/>
      <c r="C54" s="988"/>
      <c r="D54" s="987"/>
      <c r="F54" s="1280"/>
      <c r="G54" s="1291"/>
      <c r="H54" s="1291"/>
    </row>
    <row r="55" spans="2:8" ht="28.9" customHeight="1">
      <c r="B55" s="987"/>
      <c r="C55" s="988"/>
      <c r="D55" s="987"/>
      <c r="F55" s="1278" t="s">
        <v>1150</v>
      </c>
      <c r="G55" s="1289"/>
      <c r="H55" s="1289"/>
    </row>
    <row r="56" spans="2:8" ht="28.9" customHeight="1">
      <c r="B56" s="989" t="s">
        <v>1154</v>
      </c>
      <c r="C56" s="988"/>
      <c r="D56" s="989" t="s">
        <v>1155</v>
      </c>
      <c r="F56" s="1279"/>
      <c r="G56" s="1290"/>
      <c r="H56" s="1290"/>
    </row>
    <row r="57" spans="2:8" ht="28.9" customHeight="1">
      <c r="B57" s="987"/>
      <c r="C57" s="988"/>
      <c r="D57" s="987"/>
      <c r="F57" s="1280"/>
      <c r="G57" s="1291"/>
      <c r="H57" s="1291"/>
    </row>
    <row r="58" spans="2:8" ht="28.9" customHeight="1">
      <c r="B58" s="987"/>
      <c r="C58" s="988"/>
      <c r="D58" s="987"/>
      <c r="F58" s="1278" t="s">
        <v>1151</v>
      </c>
      <c r="G58" s="1289"/>
      <c r="H58" s="1289"/>
    </row>
    <row r="59" spans="2:8" ht="28.9" customHeight="1">
      <c r="B59" s="989" t="s">
        <v>1154</v>
      </c>
      <c r="C59" s="988"/>
      <c r="D59" s="989" t="s">
        <v>1155</v>
      </c>
      <c r="F59" s="1279"/>
      <c r="G59" s="1290"/>
      <c r="H59" s="1290"/>
    </row>
    <row r="60" spans="2:8" ht="28.9" customHeight="1">
      <c r="B60" s="987"/>
      <c r="C60" s="988"/>
      <c r="D60" s="987"/>
      <c r="F60" s="1280"/>
      <c r="G60" s="1291"/>
      <c r="H60" s="1291"/>
    </row>
    <row r="61" spans="2:8" ht="28.9" customHeight="1">
      <c r="B61" s="987"/>
      <c r="C61" s="988"/>
      <c r="D61" s="987"/>
      <c r="F61" s="1278" t="s">
        <v>1152</v>
      </c>
      <c r="G61" s="1289"/>
      <c r="H61" s="1289"/>
    </row>
    <row r="62" spans="2:8" ht="28.9" customHeight="1">
      <c r="B62" s="989" t="s">
        <v>1154</v>
      </c>
      <c r="C62" s="988"/>
      <c r="D62" s="989" t="s">
        <v>1155</v>
      </c>
      <c r="F62" s="1279"/>
      <c r="G62" s="1290"/>
      <c r="H62" s="1290"/>
    </row>
    <row r="63" spans="2:8" ht="28.9" customHeight="1">
      <c r="B63" s="987"/>
      <c r="C63" s="988"/>
      <c r="D63" s="987"/>
      <c r="F63" s="1280"/>
      <c r="G63" s="1291"/>
      <c r="H63" s="1291"/>
    </row>
    <row r="64" spans="2:8" ht="28.9" customHeight="1">
      <c r="B64" s="987"/>
      <c r="C64" s="988"/>
      <c r="D64" s="987"/>
      <c r="F64" s="1278" t="s">
        <v>1153</v>
      </c>
      <c r="G64" s="1289"/>
      <c r="H64" s="1289"/>
    </row>
    <row r="65" spans="2:8" ht="28.9" customHeight="1">
      <c r="B65" s="989" t="s">
        <v>1154</v>
      </c>
      <c r="C65" s="988"/>
      <c r="D65" s="989" t="s">
        <v>1155</v>
      </c>
      <c r="F65" s="1279"/>
      <c r="G65" s="1290"/>
      <c r="H65" s="1290"/>
    </row>
    <row r="66" spans="2:8" ht="28.9" customHeight="1">
      <c r="B66" s="987"/>
      <c r="C66" s="988"/>
      <c r="D66" s="987"/>
      <c r="F66" s="1280"/>
      <c r="G66" s="1291"/>
      <c r="H66" s="1291"/>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 xml:space="preserve">Total Volume of NRW =  </v>
      </c>
    </row>
    <row r="79" spans="1:6" ht="16.5">
      <c r="B79" s="65"/>
      <c r="C79" s="65"/>
      <c r="D79" s="65"/>
      <c r="E79" s="12" t="str">
        <f>IFERROR("Total Cost of NRW = $"&amp;TEXT(SUM(D90,D91,D94,D95,D96,D97,D99),"#,###")&amp;"/Yr","")</f>
        <v>Total Cost of NRW = $/Yr</v>
      </c>
      <c r="F79" s="65"/>
    </row>
    <row r="80" spans="1:6">
      <c r="A80" s="64"/>
      <c r="B80" s="64"/>
      <c r="C80" s="66" t="str">
        <f>"Volume ("&amp;Worksheet!J15&amp;")"</f>
        <v>Volume ()</v>
      </c>
      <c r="D80" s="66" t="s">
        <v>147</v>
      </c>
      <c r="E80" s="119" t="s">
        <v>1085</v>
      </c>
      <c r="F80" s="64"/>
    </row>
    <row r="81" spans="1:6">
      <c r="A81" s="67" t="s">
        <v>127</v>
      </c>
      <c r="B81" s="67"/>
      <c r="C81" s="160" t="str">
        <f>IF(Dashboard!BO$2&gt;0,"",Worksheet!H15)</f>
        <v/>
      </c>
      <c r="D81" s="161" t="str">
        <f>IF(Dashboard!BO$2&gt;0,"",C81*(Worksheet!$H$77))</f>
        <v/>
      </c>
      <c r="E81" s="712" t="str">
        <f>D81</f>
        <v/>
      </c>
      <c r="F81" s="925" t="s">
        <v>1084</v>
      </c>
    </row>
    <row r="82" spans="1:6">
      <c r="A82" s="67" t="str">
        <f>A81&amp;" MA"</f>
        <v>Vol. from own sources: MA</v>
      </c>
      <c r="B82" s="67"/>
      <c r="C82" s="160" t="str">
        <f>IF(Dashboard!BO$2&gt;0,"",Worksheet!X15)</f>
        <v/>
      </c>
      <c r="D82" s="161" t="str">
        <f>IF(Dashboard!BO$2&gt;0,"",C82*(Worksheet!$H$77))</f>
        <v/>
      </c>
      <c r="E82" s="712" t="str">
        <f t="shared" ref="E82:E100" si="0">D82</f>
        <v/>
      </c>
      <c r="F82" s="64"/>
    </row>
    <row r="83" spans="1:6">
      <c r="A83" s="64" t="s">
        <v>0</v>
      </c>
      <c r="B83" s="64"/>
      <c r="C83" s="160" t="str">
        <f>IF(Dashboard!BO$2&gt;0,"",Worksheet!H16)</f>
        <v/>
      </c>
      <c r="D83" s="161" t="str">
        <f>IF(Dashboard!BO$2&gt;0,"",C83*(Worksheet!$H$77))</f>
        <v/>
      </c>
      <c r="E83" s="712" t="str">
        <f t="shared" si="0"/>
        <v/>
      </c>
      <c r="F83" s="64"/>
    </row>
    <row r="84" spans="1:6">
      <c r="A84" s="64" t="str">
        <f>A83&amp;" MA"</f>
        <v>Water imported: MA</v>
      </c>
      <c r="B84" s="64"/>
      <c r="C84" s="160" t="str">
        <f>IF(Dashboard!BO$2&gt;0,"",Worksheet!X16)</f>
        <v/>
      </c>
      <c r="D84" s="161" t="str">
        <f>IF(Dashboard!BO$2&gt;0,"",C84*(Worksheet!$H$77))</f>
        <v/>
      </c>
      <c r="E84" s="712" t="str">
        <f t="shared" si="0"/>
        <v/>
      </c>
      <c r="F84" s="64"/>
    </row>
    <row r="85" spans="1:6">
      <c r="A85" s="64" t="s">
        <v>1</v>
      </c>
      <c r="B85" s="64"/>
      <c r="C85" s="160" t="str">
        <f>IF(Dashboard!BO$2&gt;0,"",Worksheet!H17)</f>
        <v/>
      </c>
      <c r="D85" s="161" t="str">
        <f>IF(Dashboard!BO$2&gt;0,"",C85*(Worksheet!$H$77))</f>
        <v/>
      </c>
      <c r="E85" s="712" t="str">
        <f t="shared" si="0"/>
        <v/>
      </c>
      <c r="F85" s="64"/>
    </row>
    <row r="86" spans="1:6">
      <c r="A86" s="64" t="str">
        <f>A85&amp;" MA"</f>
        <v>Water exported: MA</v>
      </c>
      <c r="B86" s="64"/>
      <c r="C86" s="160" t="str">
        <f>IF(Dashboard!BO$2&gt;0,"",Worksheet!X17)</f>
        <v/>
      </c>
      <c r="D86" s="161" t="str">
        <f>IF(Dashboard!BO$2&gt;0,"",C86*(Worksheet!$H$77))</f>
        <v/>
      </c>
      <c r="E86" s="712" t="str">
        <f t="shared" si="0"/>
        <v/>
      </c>
      <c r="F86" s="64"/>
    </row>
    <row r="87" spans="1:6">
      <c r="A87" s="64" t="s">
        <v>109</v>
      </c>
      <c r="B87" s="64"/>
      <c r="C87" s="160" t="str">
        <f>IF(Dashboard!BO$2&gt;0,"",Worksheet!H19)</f>
        <v/>
      </c>
      <c r="D87" s="161" t="str">
        <f>IF(Dashboard!BO$2&gt;0,"",C87*(Worksheet!$H$77))</f>
        <v/>
      </c>
      <c r="E87" s="712" t="str">
        <f t="shared" si="0"/>
        <v/>
      </c>
      <c r="F87" s="64"/>
    </row>
    <row r="88" spans="1:6">
      <c r="A88" s="279" t="s">
        <v>1269</v>
      </c>
      <c r="B88" s="64"/>
      <c r="C88" s="160" t="str">
        <f>IF(Dashboard!BO$2&gt;0,"",Worksheet!H23)</f>
        <v/>
      </c>
      <c r="D88" s="161" t="str">
        <f>IF(Dashboard!BO$2&gt;0,"",C88*(Worksheet!$H$76*1000))</f>
        <v/>
      </c>
      <c r="E88" s="712" t="str">
        <f t="shared" si="0"/>
        <v/>
      </c>
      <c r="F88" s="64"/>
    </row>
    <row r="89" spans="1:6">
      <c r="A89" s="279" t="s">
        <v>1270</v>
      </c>
      <c r="B89" s="64"/>
      <c r="C89" s="160" t="str">
        <f>IF(Dashboard!BO$2&gt;0,"",Worksheet!H24)</f>
        <v/>
      </c>
      <c r="D89" s="161" t="str">
        <f>IF(Dashboard!BO$2&gt;0,"",C89*(Worksheet!$H$76*1000))</f>
        <v/>
      </c>
      <c r="E89" s="712" t="str">
        <f t="shared" si="0"/>
        <v/>
      </c>
      <c r="F89" s="64"/>
    </row>
    <row r="90" spans="1:6">
      <c r="A90" s="1107" t="str">
        <f>"Unbilled Metered (UMAC) valued at "&amp;A76&amp;""</f>
        <v xml:space="preserve">Unbilled Metered (UMAC) valued at </v>
      </c>
      <c r="B90" s="1108"/>
      <c r="C90" s="1109" t="str">
        <f>IF(Dashboard!BO$2&gt;0,"",Worksheet!H25)</f>
        <v/>
      </c>
      <c r="D90" s="1110" t="str">
        <f>IF(Dashboard!BO$2&gt;0,"",IF(ISBLANK('Start Page'!AB22),"",IF(AND(ISBLANK(Worksheet!H77),Worksheet!Z77&lt;&gt;1),"",Worksheet!H25*(IF(Dashboard!BD29=FALSE,Worksheet!H77,IF(Dashboard!BD29=TRUE,Worksheet!H76*INDEX(Sheet1!B2:D4,MATCH('Start Page'!AB22,Sheet1!A2:A4,0),MATCH(Worksheet!J76,Sheet1!B1:D1,0)),""))))))</f>
        <v/>
      </c>
      <c r="E90" s="1111" t="str">
        <f t="shared" si="0"/>
        <v/>
      </c>
      <c r="F90" s="64"/>
    </row>
    <row r="91" spans="1:6">
      <c r="A91" s="1112" t="str">
        <f>"Unbilled Unmetered (UUAC) valued at "&amp;A76&amp;""</f>
        <v xml:space="preserve">Unbilled Unmetered (UUAC) valued at </v>
      </c>
      <c r="B91" s="1108"/>
      <c r="C91" s="1109" t="str">
        <f>IF(Dashboard!BO$2&gt;0,"",Worksheet!H26)</f>
        <v/>
      </c>
      <c r="D91" s="1110" t="str">
        <f>IF(Dashboard!BO$2&gt;0,"",IF(ISBLANK('Start Page'!AB22),"",IF(AND(ISBLANK(Worksheet!H77),Worksheet!Z77&lt;&gt;1),"",Worksheet!H26*(IF(Dashboard!BD29=FALSE,Worksheet!H77,IF(Dashboard!BD29=TRUE,Worksheet!H76*INDEX(Sheet1!B2:D4,MATCH('Start Page'!AB22,Sheet1!A2:A4,0),MATCH(Worksheet!J76,Sheet1!B1:D1,0)),""))))))</f>
        <v/>
      </c>
      <c r="E91" s="1111" t="str">
        <f t="shared" si="0"/>
        <v/>
      </c>
      <c r="F91" s="64"/>
    </row>
    <row r="92" spans="1:6">
      <c r="A92" s="279" t="s">
        <v>2</v>
      </c>
      <c r="B92" s="164" t="s">
        <v>239</v>
      </c>
      <c r="C92" s="160" t="str">
        <f>IF(Dashboard!BO$2&gt;0,"",Worksheet!H30)</f>
        <v/>
      </c>
      <c r="D92" s="161" t="str">
        <f>IF(Dashboard!BO$2&gt;0,"",C92*(Worksheet!$H$76*1000))</f>
        <v/>
      </c>
      <c r="E92" s="712" t="str">
        <f t="shared" si="0"/>
        <v/>
      </c>
      <c r="F92" s="64"/>
    </row>
    <row r="93" spans="1:6">
      <c r="A93" s="64" t="s">
        <v>51</v>
      </c>
      <c r="B93" s="64"/>
      <c r="C93" s="160" t="str">
        <f>IF(Dashboard!BO$2&gt;0,"",Worksheet!H35)</f>
        <v/>
      </c>
      <c r="D93" s="161"/>
      <c r="E93" s="712">
        <f t="shared" si="0"/>
        <v>0</v>
      </c>
      <c r="F93" s="64"/>
    </row>
    <row r="94" spans="1:6">
      <c r="A94" s="278" t="s">
        <v>678</v>
      </c>
      <c r="B94" s="67"/>
      <c r="C94" s="165" t="str">
        <f>IF(Dashboard!BO$2&gt;0,"",Worksheet!H43)</f>
        <v/>
      </c>
      <c r="D94" s="166" t="str">
        <f>IF(Dashboard!BO$2&gt;0,"",IF(ISBLANK('Start Page'!AB22),"",IF(AND(ISBLANK(Worksheet!H77),Worksheet!Z77&lt;&gt;1),"",C94*Worksheet!H76*INDEX(Sheet1!B2:D4,MATCH('Start Page'!AB22,Sheet1!A2:A4,0),MATCH(Worksheet!J76,Sheet1!B1:D1,0)))))</f>
        <v/>
      </c>
      <c r="E94" s="713" t="str">
        <f t="shared" si="0"/>
        <v/>
      </c>
      <c r="F94" s="167"/>
    </row>
    <row r="95" spans="1:6">
      <c r="A95" s="1094" t="s">
        <v>679</v>
      </c>
      <c r="B95" s="1093"/>
      <c r="C95" s="1095">
        <f>Worksheet!X50</f>
        <v>0</v>
      </c>
      <c r="D95" s="1096" t="str">
        <f>IF(Dashboard!BO$2&gt;0,"",IF(ISBLANK('Start Page'!AB22),"",IF(AND(ISBLANK(Worksheet!H77),Worksheet!Z77&lt;&gt;1),"",C95*Worksheet!H76*INDEX(Sheet1!B2:D4,MATCH('Start Page'!AB22,Sheet1!A2:A4,0),MATCH(Worksheet!J76,Sheet1!B1:D1,0)))))</f>
        <v/>
      </c>
      <c r="E95" s="1097" t="str">
        <f t="shared" si="0"/>
        <v/>
      </c>
      <c r="F95" s="167"/>
    </row>
    <row r="96" spans="1:6">
      <c r="A96" s="1094" t="s">
        <v>1271</v>
      </c>
      <c r="B96" s="1093"/>
      <c r="C96" s="1095">
        <f>Worksheet!Y50</f>
        <v>0</v>
      </c>
      <c r="D96" s="1096">
        <f>C96*input_VPC</f>
        <v>0</v>
      </c>
      <c r="E96" s="1097">
        <f t="shared" si="0"/>
        <v>0</v>
      </c>
      <c r="F96" s="1100" t="s">
        <v>1273</v>
      </c>
    </row>
    <row r="97" spans="1:7">
      <c r="A97" s="278" t="s">
        <v>680</v>
      </c>
      <c r="B97" s="67"/>
      <c r="C97" s="165" t="str">
        <f>IF(Dashboard!BO$2&gt;0,"",Worksheet!H39)</f>
        <v/>
      </c>
      <c r="D97" s="166" t="str">
        <f>IF(Dashboard!BO$2&gt;0,"",IF(ISBLANK('Start Page'!AB22),"",IF(AND(ISBLANK(Worksheet!H77),Worksheet!Z77&lt;&gt;1),"",C97*Worksheet!H76*INDEX(Sheet1!B2:D4,MATCH('Start Page'!AB22,Sheet1!A2:A4,0),MATCH(Worksheet!J76,Sheet1!B1:D1,0)))))</f>
        <v/>
      </c>
      <c r="E97" s="713" t="str">
        <f t="shared" si="0"/>
        <v/>
      </c>
      <c r="F97" s="167"/>
    </row>
    <row r="98" spans="1:7">
      <c r="A98" s="1104" t="s">
        <v>42</v>
      </c>
      <c r="B98" s="1104"/>
      <c r="C98" s="1105" t="str">
        <f>IF(Dashboard!BO$2&gt;0,"",Worksheet!H46)</f>
        <v/>
      </c>
      <c r="D98" s="1106" t="str">
        <f>IF(Dashboard!BO$2&gt;0,"",SUM(D94:D97))</f>
        <v/>
      </c>
      <c r="E98" s="712" t="str">
        <f t="shared" si="0"/>
        <v/>
      </c>
      <c r="F98" s="64"/>
    </row>
    <row r="99" spans="1:7">
      <c r="A99" s="118" t="str">
        <f>"Real Losses valued at "&amp;A76&amp;""</f>
        <v xml:space="preserve">Real Losses valued at </v>
      </c>
      <c r="B99" s="67"/>
      <c r="C99" s="165" t="str">
        <f>IF(Dashboard!BO$2&gt;0,"",Worksheet!H51)</f>
        <v/>
      </c>
      <c r="D99" s="1098" t="str">
        <f>IF(Dashboard!BO$2&gt;0,"",Dashboard!N50)</f>
        <v/>
      </c>
      <c r="E99" s="713" t="str">
        <f t="shared" si="0"/>
        <v/>
      </c>
      <c r="F99" s="712"/>
    </row>
    <row r="100" spans="1:7">
      <c r="A100" s="64" t="s">
        <v>72</v>
      </c>
      <c r="B100" s="64"/>
      <c r="C100" s="160" t="str">
        <f>IF(Dashboard!BO$2&gt;0,"",Worksheet!H57)</f>
        <v/>
      </c>
      <c r="D100" s="162" t="str">
        <f>IF(Dashboard!BO$2&gt;0,"",D98+D99+D90+D91)</f>
        <v/>
      </c>
      <c r="E100" s="712" t="str">
        <f t="shared" si="0"/>
        <v/>
      </c>
      <c r="F100" s="64"/>
      <c r="G100" s="168"/>
    </row>
    <row r="101" spans="1:7">
      <c r="A101" s="1101"/>
    </row>
    <row r="102" spans="1:7">
      <c r="A102" s="1101" t="s">
        <v>1272</v>
      </c>
      <c r="C102" s="1102">
        <f>C95+C96</f>
        <v>0</v>
      </c>
      <c r="D102" s="168" t="e">
        <f>D95+D96</f>
        <v>#VALUE!</v>
      </c>
      <c r="E102" s="168" t="e">
        <f>E95+E96</f>
        <v>#VALUE!</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&lt;&lt; Please enter system details on the Start Page &gt;&gt;</v>
      </c>
      <c r="G5" s="1308"/>
      <c r="H5" s="570"/>
      <c r="I5" s="7"/>
    </row>
    <row r="6" spans="2:16" ht="18" customHeight="1">
      <c r="B6" s="567"/>
      <c r="C6" s="576"/>
      <c r="D6" s="568"/>
      <c r="E6" s="927" t="s">
        <v>714</v>
      </c>
      <c r="F6" s="928" t="str">
        <f>IF(ISBLANK('Start Page'!AB18),"",'Start Page'!AB18)</f>
        <v/>
      </c>
      <c r="G6" s="929" t="str">
        <f>IF(ISBLANK('Start Page'!AB20),"",TEXT('Start Page'!AB20,"mmm dd yyyy")&amp;" - "&amp;TEXT('Start Page'!AB21,"mmm dd yyyy"))</f>
        <v/>
      </c>
      <c r="H6" s="571"/>
      <c r="I6" s="7"/>
    </row>
    <row r="7" spans="2:16" ht="18" customHeight="1">
      <c r="B7" s="567"/>
      <c r="C7" s="568"/>
      <c r="D7" s="568"/>
      <c r="E7" s="927" t="s">
        <v>681</v>
      </c>
      <c r="F7" s="928" t="str">
        <f>Dashboard!BR4</f>
        <v>N/A*</v>
      </c>
      <c r="G7" s="930" t="str">
        <f>IF(F7="N/A*","* Confirm Units and Data Grading are Complete","")</f>
        <v>* Confirm Units and Data Grading are Complete</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0</v>
      </c>
      <c r="E10" s="1312"/>
      <c r="F10" s="1313"/>
      <c r="G10" s="1314"/>
      <c r="H10" s="428">
        <f>D10</f>
        <v>0</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0</v>
      </c>
      <c r="H12" s="438"/>
      <c r="I12" s="7"/>
      <c r="K12" s="1049"/>
    </row>
    <row r="13" spans="2:16" ht="22.5" customHeight="1">
      <c r="B13" s="1293"/>
      <c r="C13" s="439"/>
      <c r="D13" s="436"/>
      <c r="E13" s="1302"/>
      <c r="F13" s="441">
        <f>Worksheet!H23+Worksheet!H24</f>
        <v>0</v>
      </c>
      <c r="G13" s="442" t="s">
        <v>1090</v>
      </c>
      <c r="H13" s="443">
        <f>SUM(G12+G14)</f>
        <v>0</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0</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0</v>
      </c>
      <c r="H16" s="1301"/>
      <c r="I16" s="7"/>
      <c r="K16" s="163"/>
    </row>
    <row r="17" spans="2:16" ht="22.5" customHeight="1">
      <c r="B17" s="453">
        <f>Worksheet!AG15</f>
        <v>0</v>
      </c>
      <c r="C17" s="454"/>
      <c r="D17" s="455"/>
      <c r="E17" s="311"/>
      <c r="F17" s="456">
        <f>Worksheet!H25+Worksheet!H26</f>
        <v>0</v>
      </c>
      <c r="G17" s="440" t="s">
        <v>1092</v>
      </c>
      <c r="H17" s="438"/>
      <c r="I17" s="7"/>
      <c r="K17" s="163"/>
      <c r="L17" s="159"/>
      <c r="M17" s="159"/>
      <c r="N17" s="159"/>
      <c r="O17" s="159"/>
      <c r="P17" s="159"/>
    </row>
    <row r="18" spans="2:16" ht="15.75" customHeight="1">
      <c r="B18" s="451"/>
      <c r="C18" s="1315" t="s">
        <v>763</v>
      </c>
      <c r="D18" s="436"/>
      <c r="E18" s="457"/>
      <c r="F18" s="446"/>
      <c r="G18" s="458">
        <f>Worksheet!H26</f>
        <v>0</v>
      </c>
      <c r="H18" s="438"/>
      <c r="I18" s="7"/>
      <c r="K18" s="163"/>
    </row>
    <row r="19" spans="2:16" ht="22.5" customHeight="1">
      <c r="B19" s="451"/>
      <c r="C19" s="1315"/>
      <c r="D19" s="459" t="s">
        <v>116</v>
      </c>
      <c r="E19" s="432"/>
      <c r="F19" s="460"/>
      <c r="G19" s="707" t="s">
        <v>695</v>
      </c>
      <c r="H19" s="461">
        <f>Worksheet!H25+Worksheet!H26+Worksheet!H46+Worksheet!H51</f>
        <v>0</v>
      </c>
      <c r="I19" s="7"/>
      <c r="K19" s="163"/>
      <c r="L19" s="159"/>
      <c r="M19" s="159"/>
      <c r="N19" s="159"/>
      <c r="O19" s="159"/>
      <c r="P19" s="159"/>
    </row>
    <row r="20" spans="2:16" ht="15.75" customHeight="1">
      <c r="B20" s="451"/>
      <c r="C20" s="462">
        <f>B17+B27</f>
        <v>0</v>
      </c>
      <c r="D20" s="436"/>
      <c r="E20" s="311"/>
      <c r="F20" s="463" t="s">
        <v>52</v>
      </c>
      <c r="G20" s="452">
        <f>Worksheet!H39</f>
        <v>0</v>
      </c>
      <c r="H20" s="438"/>
      <c r="I20" s="7"/>
      <c r="K20" s="163"/>
    </row>
    <row r="21" spans="2:16" ht="14.25" customHeight="1">
      <c r="B21" s="464"/>
      <c r="C21" s="465"/>
      <c r="D21" s="462">
        <f>Worksheet!H19</f>
        <v>0</v>
      </c>
      <c r="E21" s="466"/>
      <c r="F21" s="456">
        <f>Worksheet!H46</f>
        <v>0</v>
      </c>
      <c r="G21" s="440" t="s">
        <v>694</v>
      </c>
      <c r="H21" s="438"/>
      <c r="I21" s="7"/>
      <c r="K21" s="163"/>
      <c r="L21" s="159"/>
      <c r="M21" s="159"/>
      <c r="N21" s="159"/>
      <c r="O21" s="159"/>
      <c r="P21" s="159"/>
    </row>
    <row r="22" spans="2:16" ht="15.75" customHeight="1">
      <c r="B22" s="451"/>
      <c r="C22" s="435"/>
      <c r="D22" s="436"/>
      <c r="E22" s="311"/>
      <c r="F22" s="466"/>
      <c r="G22" s="467">
        <f>Worksheet!H41</f>
        <v>0</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0</v>
      </c>
      <c r="H24" s="438"/>
      <c r="I24" s="7"/>
      <c r="K24" s="163"/>
    </row>
    <row r="25" spans="2:16" ht="26.25" customHeight="1">
      <c r="B25" s="1292" t="s">
        <v>1087</v>
      </c>
      <c r="C25" s="439"/>
      <c r="D25" s="436"/>
      <c r="E25" s="469">
        <f>Worksheet!H53</f>
        <v>0</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0</v>
      </c>
      <c r="C27" s="454"/>
      <c r="D27" s="436"/>
      <c r="E27" s="311"/>
      <c r="F27" s="456">
        <f>Worksheet!H51</f>
        <v>0</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784</v>
      </c>
      <c r="C2" s="1317"/>
      <c r="D2" s="1317"/>
      <c r="E2" s="1317"/>
      <c r="F2" s="1317"/>
      <c r="G2" s="1317"/>
      <c r="H2" s="1317"/>
      <c r="I2" s="1317"/>
      <c r="J2" s="1317"/>
      <c r="K2" s="1317"/>
      <c r="L2" s="1317"/>
      <c r="M2" s="1317"/>
      <c r="N2" s="1317"/>
      <c r="O2" s="1317"/>
      <c r="P2" s="1317"/>
      <c r="Q2" s="1317"/>
      <c r="R2" s="1317"/>
      <c r="S2" s="131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46" t="str">
        <f>IF(ISBLANK('Start Page'!AB9),"&lt;&lt; Please enter system details on the Start Page &gt;&gt;",'Start Page'!AB9&amp;IF(ISBLANK('Start Page'!AM28),"","  ("&amp;'Start Page'!AM28&amp;")"))</f>
        <v>&lt;&lt; Please enter system details on the Start Page &gt;&gt;</v>
      </c>
      <c r="H4" s="1347"/>
      <c r="I4" s="1347"/>
      <c r="J4" s="1347"/>
      <c r="K4" s="1347"/>
      <c r="L4" s="1347"/>
      <c r="M4" s="1347"/>
      <c r="N4" s="1347"/>
      <c r="O4" s="1348"/>
      <c r="P4" s="480"/>
      <c r="Q4" s="480"/>
      <c r="R4" s="480"/>
      <c r="S4" s="481"/>
      <c r="T4" s="155"/>
      <c r="U4" s="51"/>
    </row>
    <row r="5" spans="1:22" ht="17.100000000000001" customHeight="1">
      <c r="A5" s="151"/>
      <c r="B5" s="479"/>
      <c r="C5" s="480"/>
      <c r="D5" s="480"/>
      <c r="E5" s="64"/>
      <c r="F5" s="422" t="s">
        <v>714</v>
      </c>
      <c r="G5" s="482" t="str">
        <f>IF(ISBLANK('Start Page'!AB18),"",'Start Page'!AB18)</f>
        <v/>
      </c>
      <c r="H5" s="1360" t="str">
        <f>IF(ISBLANK('Start Page'!AB20),"",TEXT('Start Page'!AB20,"mmm dd yyyy")&amp;" - "&amp;TEXT('Start Page'!AB21,"mmm dd yyyy"))</f>
        <v/>
      </c>
      <c r="I5" s="1361"/>
      <c r="J5" s="1362"/>
      <c r="K5" s="1044"/>
      <c r="L5" s="1044"/>
      <c r="M5" s="1044"/>
      <c r="N5" s="1044"/>
      <c r="O5" s="1044"/>
      <c r="P5" s="480"/>
      <c r="Q5" s="480"/>
      <c r="R5" s="480"/>
      <c r="S5" s="481"/>
      <c r="T5" s="155"/>
      <c r="U5" s="51"/>
    </row>
    <row r="6" spans="1:22" ht="17.100000000000001" customHeight="1">
      <c r="A6" s="151"/>
      <c r="B6" s="479"/>
      <c r="C6" s="480"/>
      <c r="D6" s="480"/>
      <c r="E6" s="64"/>
      <c r="F6" s="422" t="s">
        <v>681</v>
      </c>
      <c r="G6" s="1357" t="str">
        <f>IF(OR(ISBLANK('Start Page'!AB22:AL22),'M36 Refs'!AN118&gt;0),"Additional data entry required",Dashboard!BR4)</f>
        <v>Additional data entry required</v>
      </c>
      <c r="H6" s="1358"/>
      <c r="I6" s="1359"/>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49" t="s">
        <v>62</v>
      </c>
      <c r="D8" s="1350"/>
      <c r="E8" s="1350"/>
      <c r="F8" s="1350"/>
      <c r="G8" s="1350"/>
      <c r="H8" s="1350"/>
      <c r="I8" s="1350"/>
      <c r="J8" s="1350"/>
      <c r="K8" s="1350"/>
      <c r="L8" s="1350"/>
      <c r="M8" s="1350"/>
      <c r="N8" s="1350"/>
      <c r="O8" s="1350"/>
      <c r="P8" s="1350"/>
      <c r="Q8" s="1350"/>
      <c r="R8" s="1351"/>
      <c r="S8" s="481"/>
      <c r="T8" s="155"/>
      <c r="U8" s="51"/>
    </row>
    <row r="9" spans="1:22" ht="18.75" customHeight="1" thickTop="1">
      <c r="A9" s="151"/>
      <c r="B9" s="479"/>
      <c r="C9" s="483"/>
      <c r="D9" s="1353" t="s">
        <v>715</v>
      </c>
      <c r="E9" s="1354"/>
      <c r="F9" s="1354"/>
      <c r="G9" s="1354"/>
      <c r="H9" s="1354"/>
      <c r="I9" s="1354"/>
      <c r="J9" s="1354"/>
      <c r="K9" s="1354"/>
      <c r="L9" s="1354"/>
      <c r="M9" s="1354"/>
      <c r="N9" s="1354"/>
      <c r="O9" s="1354"/>
      <c r="P9" s="1354"/>
      <c r="Q9" s="1354"/>
      <c r="R9" s="1355"/>
      <c r="S9" s="481"/>
      <c r="T9" s="155"/>
      <c r="U9" s="51"/>
    </row>
    <row r="10" spans="1:22" ht="34.5" customHeight="1" thickBot="1">
      <c r="A10" s="151"/>
      <c r="B10" s="479"/>
      <c r="C10" s="484" t="s">
        <v>63</v>
      </c>
      <c r="D10" s="1356" t="s">
        <v>782</v>
      </c>
      <c r="E10" s="1333"/>
      <c r="F10" s="1334"/>
      <c r="G10" s="1332" t="s">
        <v>261</v>
      </c>
      <c r="H10" s="1333"/>
      <c r="I10" s="1334"/>
      <c r="J10" s="1332" t="s">
        <v>262</v>
      </c>
      <c r="K10" s="1333"/>
      <c r="L10" s="1334"/>
      <c r="M10" s="1332" t="s">
        <v>263</v>
      </c>
      <c r="N10" s="1333"/>
      <c r="O10" s="1334"/>
      <c r="P10" s="1332" t="s">
        <v>264</v>
      </c>
      <c r="Q10" s="1333"/>
      <c r="R10" s="1335"/>
      <c r="S10" s="481"/>
      <c r="T10" s="155"/>
      <c r="U10" s="51"/>
    </row>
    <row r="11" spans="1:22" ht="61.9" customHeight="1" thickTop="1">
      <c r="A11" s="151"/>
      <c r="B11" s="479"/>
      <c r="C11" s="485" t="s">
        <v>68</v>
      </c>
      <c r="D11" s="1341" t="s">
        <v>1115</v>
      </c>
      <c r="E11" s="1337"/>
      <c r="F11" s="1338"/>
      <c r="G11" s="1336" t="s">
        <v>1114</v>
      </c>
      <c r="H11" s="1337"/>
      <c r="I11" s="1338"/>
      <c r="J11" s="1336" t="s">
        <v>69</v>
      </c>
      <c r="K11" s="1337"/>
      <c r="L11" s="1352"/>
      <c r="M11" s="1336" t="s">
        <v>18</v>
      </c>
      <c r="N11" s="1337"/>
      <c r="O11" s="1352"/>
      <c r="P11" s="1336" t="s">
        <v>19</v>
      </c>
      <c r="Q11" s="1337"/>
      <c r="R11" s="1352"/>
      <c r="S11" s="481"/>
      <c r="T11" s="155"/>
      <c r="U11" s="51"/>
    </row>
    <row r="12" spans="1:22" ht="78" customHeight="1">
      <c r="A12" s="151"/>
      <c r="B12" s="479"/>
      <c r="C12" s="486" t="s">
        <v>20</v>
      </c>
      <c r="D12" s="1329" t="s">
        <v>1116</v>
      </c>
      <c r="E12" s="1330"/>
      <c r="F12" s="1331"/>
      <c r="G12" s="1339" t="s">
        <v>1113</v>
      </c>
      <c r="H12" s="1330"/>
      <c r="I12" s="1331"/>
      <c r="J12" s="1339" t="s">
        <v>21</v>
      </c>
      <c r="K12" s="1330"/>
      <c r="L12" s="1340"/>
      <c r="M12" s="1339" t="s">
        <v>22</v>
      </c>
      <c r="N12" s="1330"/>
      <c r="O12" s="1340"/>
      <c r="P12" s="1339" t="s">
        <v>125</v>
      </c>
      <c r="Q12" s="1330"/>
      <c r="R12" s="1340"/>
      <c r="S12" s="481"/>
      <c r="T12" s="155"/>
      <c r="U12" s="51"/>
    </row>
    <row r="13" spans="1:22" ht="105.75" customHeight="1">
      <c r="A13" s="151"/>
      <c r="B13" s="479"/>
      <c r="C13" s="486" t="s">
        <v>126</v>
      </c>
      <c r="D13" s="1342"/>
      <c r="E13" s="1343"/>
      <c r="F13" s="1344"/>
      <c r="G13" s="1339" t="s">
        <v>1111</v>
      </c>
      <c r="H13" s="1330"/>
      <c r="I13" s="1331"/>
      <c r="J13" s="1339" t="s">
        <v>1112</v>
      </c>
      <c r="K13" s="1330"/>
      <c r="L13" s="1340"/>
      <c r="M13" s="1339" t="s">
        <v>67</v>
      </c>
      <c r="N13" s="1330"/>
      <c r="O13" s="1340"/>
      <c r="P13" s="1339" t="s">
        <v>34</v>
      </c>
      <c r="Q13" s="1330"/>
      <c r="R13" s="1340"/>
      <c r="S13" s="481"/>
      <c r="T13" s="155"/>
      <c r="U13" s="51"/>
    </row>
    <row r="14" spans="1:22" ht="68.25" customHeight="1">
      <c r="A14" s="151"/>
      <c r="B14" s="479"/>
      <c r="C14" s="486" t="s">
        <v>35</v>
      </c>
      <c r="D14" s="1342"/>
      <c r="E14" s="1343"/>
      <c r="F14" s="1344"/>
      <c r="G14" s="1345"/>
      <c r="H14" s="1343"/>
      <c r="I14" s="1344"/>
      <c r="J14" s="1339" t="s">
        <v>36</v>
      </c>
      <c r="K14" s="1330"/>
      <c r="L14" s="1340"/>
      <c r="M14" s="1339" t="s">
        <v>37</v>
      </c>
      <c r="N14" s="1330"/>
      <c r="O14" s="1340"/>
      <c r="P14" s="1339" t="s">
        <v>38</v>
      </c>
      <c r="Q14" s="1330"/>
      <c r="R14" s="1340"/>
      <c r="S14" s="481"/>
      <c r="T14" s="155"/>
      <c r="U14" s="51"/>
    </row>
    <row r="15" spans="1:22" ht="84" customHeight="1" thickBot="1">
      <c r="A15" s="151"/>
      <c r="B15" s="479"/>
      <c r="C15" s="487" t="s">
        <v>39</v>
      </c>
      <c r="D15" s="1322"/>
      <c r="E15" s="1323"/>
      <c r="F15" s="1324"/>
      <c r="G15" s="1325"/>
      <c r="H15" s="1323"/>
      <c r="I15" s="1324"/>
      <c r="J15" s="1326" t="s">
        <v>1097</v>
      </c>
      <c r="K15" s="1327"/>
      <c r="L15" s="1328"/>
      <c r="M15" s="1326" t="s">
        <v>1098</v>
      </c>
      <c r="N15" s="1327"/>
      <c r="O15" s="1328"/>
      <c r="P15" s="1326" t="s">
        <v>1099</v>
      </c>
      <c r="Q15" s="1327"/>
      <c r="R15" s="1328"/>
      <c r="S15" s="481"/>
      <c r="T15" s="155"/>
      <c r="U15" s="51"/>
    </row>
    <row r="16" spans="1:22" ht="21" customHeight="1" thickTop="1" thickBot="1">
      <c r="A16" s="151"/>
      <c r="B16" s="479"/>
      <c r="C16" s="1319" t="s">
        <v>124</v>
      </c>
      <c r="D16" s="1320"/>
      <c r="E16" s="1320"/>
      <c r="F16" s="1320"/>
      <c r="G16" s="1320"/>
      <c r="H16" s="1320"/>
      <c r="I16" s="1320"/>
      <c r="J16" s="1320"/>
      <c r="K16" s="1320"/>
      <c r="L16" s="1320"/>
      <c r="M16" s="1320"/>
      <c r="N16" s="1320"/>
      <c r="O16" s="1320"/>
      <c r="P16" s="1320"/>
      <c r="Q16" s="1320"/>
      <c r="R16" s="132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t="e">
        <f>IF(AND(ROUND('M36 Refs'!$AH$118,0)&gt;=E17,ROUND('M36 Refs'!$AH$118,0)&lt;='Loss Control Planning'!E18,'M36 Refs'!AN118=0),1,0)</f>
        <v>#VALUE!</v>
      </c>
      <c r="F19" s="493"/>
      <c r="G19" s="493"/>
      <c r="H19" s="493" t="e">
        <f>IF(AND(ROUND('M36 Refs'!$AH$118,0)&gt;=H17,ROUND('M36 Refs'!$AH$118,0)&lt;='Loss Control Planning'!H18,'M36 Refs'!AN118=0),1,0)</f>
        <v>#VALUE!</v>
      </c>
      <c r="I19" s="493"/>
      <c r="J19" s="493"/>
      <c r="K19" s="493" t="e">
        <f>IF(AND(ROUND('M36 Refs'!$AH$118,0)&gt;=K17,ROUND('M36 Refs'!$AH$118,0)&lt;='Loss Control Planning'!K18,'M36 Refs'!AN118=0),1,0)</f>
        <v>#VALUE!</v>
      </c>
      <c r="L19" s="493"/>
      <c r="M19" s="493"/>
      <c r="N19" s="493" t="e">
        <f>IF(AND(ROUND('M36 Refs'!$AH$118,0)&gt;=N17,ROUND('M36 Refs'!$AH$118,0)&lt;='Loss Control Planning'!N18,'M36 Refs'!AN118=0),1,0)</f>
        <v>#VALUE!</v>
      </c>
      <c r="O19" s="493"/>
      <c r="P19" s="493"/>
      <c r="Q19" s="493" t="e">
        <f>IF(AND(ROUND('M36 Refs'!$AH$118,0)&gt;=Q17,ROUND('M36 Refs'!$AH$118,0)&lt;='Loss Control Planning'!Q18,'M36 Refs'!AN118=0),1,0)</f>
        <v>#VALUE!</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t="str">
        <f>IF(Worksheet!F15="n/a",0,Worksheet!F15)</f>
        <v/>
      </c>
      <c r="AE98" s="80" t="e">
        <f>Worksheet!Y15</f>
        <v>#DIV/0!</v>
      </c>
      <c r="AF98" s="47" t="e">
        <f t="shared" ref="AF98:AF103" si="0">AE98</f>
        <v>#DIV/0!</v>
      </c>
      <c r="AG98" s="47" t="e">
        <f>IF(AE98&lt;&gt;0,AF98/10,0)</f>
        <v>#DIV/0!</v>
      </c>
      <c r="AH98" s="44">
        <f>IFERROR(AD98*AG98,0)</f>
        <v>0</v>
      </c>
      <c r="AI98" s="45" t="e">
        <f t="shared" ref="AI98:AI117" si="1">IF(AG98=0,0,AF98-AH98)</f>
        <v>#DIV/0!</v>
      </c>
      <c r="AJ98" t="e">
        <f t="array" aca="1" ref="AJ98" ca="1">SUM(1*(AI98&lt;$AI$98:$AI$117))+1+IF(ROW(AI98)-ROW($AI$98)=0,0,SUM(1*(AI98=OFFSET($AI$98,0,0,INDEX(ROW(AI98)-ROW($AI$98)+1,1)-1,1))))</f>
        <v>#DIV/0!</v>
      </c>
      <c r="AK98" s="104" t="str">
        <f>AC98</f>
        <v>Volume from Own Sources (VOS)</v>
      </c>
      <c r="AL98">
        <f>IFERROR(IF(AE98&lt;&gt;0,1,0),0)</f>
        <v>0</v>
      </c>
      <c r="AM98">
        <f>IF(AD98="",0,IF(AD98&lt;&gt;0,1,0))</f>
        <v>0</v>
      </c>
      <c r="AN98">
        <f t="shared" ref="AN98:AN117" si="2">IF(AND(AL98=1,AM98=0),1,0)</f>
        <v>0</v>
      </c>
    </row>
    <row r="99" spans="28:40">
      <c r="AC99" s="274" t="s">
        <v>688</v>
      </c>
      <c r="AD99" s="46" t="str">
        <f>IF(Worksheet!M15="n/a",0,Worksheet!M15)</f>
        <v/>
      </c>
      <c r="AE99" s="80" t="e">
        <f>Worksheet!Z15</f>
        <v>#DIV/0!</v>
      </c>
      <c r="AF99" s="47" t="e">
        <f t="shared" si="0"/>
        <v>#DIV/0!</v>
      </c>
      <c r="AG99" s="47" t="e">
        <f t="shared" ref="AG99:AG117" si="3">IF(AE99&lt;&gt;0,AF99/10,0)</f>
        <v>#DIV/0!</v>
      </c>
      <c r="AH99" s="44">
        <f t="shared" ref="AH99:AH106" si="4">IFERROR(AD99*AG99,0)</f>
        <v>0</v>
      </c>
      <c r="AI99" s="45" t="e">
        <f t="shared" si="1"/>
        <v>#DIV/0!</v>
      </c>
      <c r="AJ99" t="e">
        <f t="array" aca="1" ref="AJ99" ca="1">SUM(1*(AI99&lt;$AI$98:$AI$117))+1+IF(ROW(AI99)-ROW($AI$98)=0,0,SUM(1*(AI99=OFFSET($AI$98,0,0,INDEX(ROW(AI99)-ROW($AI$98)+1,1)-1,1))))</f>
        <v>#DIV/0!</v>
      </c>
      <c r="AK99" s="104" t="str">
        <f t="shared" ref="AK99:AK117" si="5">AC99</f>
        <v>VOS Error Adjustment (VOSEA)</v>
      </c>
      <c r="AL99">
        <f t="shared" ref="AL99:AL103" si="6">IFERROR(IF(AE99&lt;&gt;0,1,0),0)</f>
        <v>0</v>
      </c>
      <c r="AM99">
        <f t="shared" ref="AM99:AM117" si="7">IF(AD99="",0,IF(AD99&lt;&gt;0,1,0))</f>
        <v>0</v>
      </c>
      <c r="AN99">
        <f t="shared" si="2"/>
        <v>0</v>
      </c>
    </row>
    <row r="100" spans="28:40">
      <c r="AC100" s="270" t="s">
        <v>689</v>
      </c>
      <c r="AD100" s="46" t="str">
        <f>IF(Worksheet!F16="n/a",0,Worksheet!F16)</f>
        <v/>
      </c>
      <c r="AE100" s="80" t="e">
        <f>Worksheet!Y16</f>
        <v>#DIV/0!</v>
      </c>
      <c r="AF100" s="47" t="e">
        <f t="shared" si="0"/>
        <v>#DIV/0!</v>
      </c>
      <c r="AG100" s="47" t="e">
        <f t="shared" si="3"/>
        <v>#DIV/0!</v>
      </c>
      <c r="AH100" s="44">
        <f t="shared" si="4"/>
        <v>0</v>
      </c>
      <c r="AI100" s="45" t="e">
        <f t="shared" si="1"/>
        <v>#DIV/0!</v>
      </c>
      <c r="AJ100" t="e">
        <f t="array" aca="1" ref="AJ100" ca="1">SUM(1*(AI100&lt;$AI$98:$AI$117))+1+IF(ROW(AI100)-ROW($AI$98)=0,0,SUM(1*(AI100=OFFSET($AI$98,0,0,INDEX(ROW(AI100)-ROW($AI$98)+1,1)-1,1))))</f>
        <v>#DIV/0!</v>
      </c>
      <c r="AK100" s="104" t="str">
        <f t="shared" si="5"/>
        <v>Water Imported (WI)</v>
      </c>
      <c r="AL100">
        <f t="shared" si="6"/>
        <v>0</v>
      </c>
      <c r="AM100">
        <f t="shared" si="7"/>
        <v>0</v>
      </c>
      <c r="AN100">
        <f t="shared" si="2"/>
        <v>0</v>
      </c>
    </row>
    <row r="101" spans="28:40">
      <c r="AC101" s="274" t="s">
        <v>702</v>
      </c>
      <c r="AD101" s="46" t="str">
        <f>IF(Worksheet!M16="n/a",0,Worksheet!M16)</f>
        <v/>
      </c>
      <c r="AE101" s="80" t="e">
        <f>Worksheet!Z16</f>
        <v>#DIV/0!</v>
      </c>
      <c r="AF101" s="47" t="e">
        <f t="shared" si="0"/>
        <v>#DIV/0!</v>
      </c>
      <c r="AG101" s="47" t="e">
        <f t="shared" si="3"/>
        <v>#DIV/0!</v>
      </c>
      <c r="AH101" s="44">
        <f t="shared" si="4"/>
        <v>0</v>
      </c>
      <c r="AI101" s="45" t="e">
        <f t="shared" si="1"/>
        <v>#DIV/0!</v>
      </c>
      <c r="AJ101" t="e">
        <f t="array" aca="1" ref="AJ101" ca="1">SUM(1*(AI101&lt;$AI$98:$AI$117))+1+IF(ROW(AI101)-ROW($AI$98)=0,0,SUM(1*(AI101=OFFSET($AI$98,0,0,INDEX(ROW(AI101)-ROW($AI$98)+1,1)-1,1))))</f>
        <v>#DIV/0!</v>
      </c>
      <c r="AK101" s="104" t="str">
        <f t="shared" si="5"/>
        <v>WI Error Adjustment (WIEA)</v>
      </c>
      <c r="AL101">
        <f t="shared" si="6"/>
        <v>0</v>
      </c>
      <c r="AM101">
        <f t="shared" si="7"/>
        <v>0</v>
      </c>
      <c r="AN101">
        <f t="shared" si="2"/>
        <v>0</v>
      </c>
    </row>
    <row r="102" spans="28:40">
      <c r="AC102" s="270" t="s">
        <v>703</v>
      </c>
      <c r="AD102" s="46" t="str">
        <f>IF(Worksheet!F17="n/a",0,Worksheet!F17)</f>
        <v/>
      </c>
      <c r="AE102" s="80" t="e">
        <f>Worksheet!Y17</f>
        <v>#DIV/0!</v>
      </c>
      <c r="AF102" s="47" t="e">
        <f t="shared" si="0"/>
        <v>#DIV/0!</v>
      </c>
      <c r="AG102" s="47" t="e">
        <f t="shared" si="3"/>
        <v>#DIV/0!</v>
      </c>
      <c r="AH102" s="44">
        <f t="shared" si="4"/>
        <v>0</v>
      </c>
      <c r="AI102" s="45" t="e">
        <f t="shared" si="1"/>
        <v>#DIV/0!</v>
      </c>
      <c r="AJ102" t="e">
        <f t="array" aca="1" ref="AJ102" ca="1">SUM(1*(AI102&lt;$AI$98:$AI$117))+1+IF(ROW(AI102)-ROW($AI$98)=0,0,SUM(1*(AI102=OFFSET($AI$98,0,0,INDEX(ROW(AI102)-ROW($AI$98)+1,1)-1,1))))</f>
        <v>#DIV/0!</v>
      </c>
      <c r="AK102" s="104" t="str">
        <f t="shared" si="5"/>
        <v>Water Exported (WE)</v>
      </c>
      <c r="AL102">
        <f t="shared" si="6"/>
        <v>0</v>
      </c>
      <c r="AM102">
        <f t="shared" si="7"/>
        <v>0</v>
      </c>
      <c r="AN102">
        <f t="shared" si="2"/>
        <v>0</v>
      </c>
    </row>
    <row r="103" spans="28:40">
      <c r="AC103" s="274" t="s">
        <v>704</v>
      </c>
      <c r="AD103" s="81" t="str">
        <f>IF(Worksheet!M17="n/a",0,Worksheet!M17)</f>
        <v/>
      </c>
      <c r="AE103" s="82" t="e">
        <f>Worksheet!Z17</f>
        <v>#DIV/0!</v>
      </c>
      <c r="AF103" s="83" t="e">
        <f t="shared" si="0"/>
        <v>#DIV/0!</v>
      </c>
      <c r="AG103" s="83" t="e">
        <f t="shared" si="3"/>
        <v>#DIV/0!</v>
      </c>
      <c r="AH103" s="44">
        <f t="shared" si="4"/>
        <v>0</v>
      </c>
      <c r="AI103" s="83" t="e">
        <f t="shared" si="1"/>
        <v>#DIV/0!</v>
      </c>
      <c r="AJ103" s="84" t="e">
        <f t="array" aca="1" ref="AJ103" ca="1">SUM(1*(AI103&lt;$AI$98:$AI$117))+1+IF(ROW(AI103)-ROW($AI$98)=0,0,SUM(1*(AI103=OFFSET($AI$98,0,0,INDEX(ROW(AI103)-ROW($AI$98)+1,1)-1,1))))</f>
        <v>#DIV/0!</v>
      </c>
      <c r="AK103" s="105" t="str">
        <f t="shared" si="5"/>
        <v>WE Error Adjustment (WEEA)</v>
      </c>
      <c r="AL103">
        <f t="shared" si="6"/>
        <v>0</v>
      </c>
      <c r="AM103" s="84">
        <f t="shared" si="7"/>
        <v>0</v>
      </c>
      <c r="AN103" s="84">
        <f t="shared" si="2"/>
        <v>0</v>
      </c>
    </row>
    <row r="104" spans="28:40">
      <c r="AC104" s="271" t="s">
        <v>690</v>
      </c>
      <c r="AD104" s="90" t="str">
        <f>IF(Worksheet!F23="n/a",0,Worksheet!F23)</f>
        <v/>
      </c>
      <c r="AE104" s="275">
        <f>IF(Worksheet!H23&gt;0,Worksheet!Y23,0)</f>
        <v>0</v>
      </c>
      <c r="AF104" s="92">
        <f t="shared" ref="AF104:AF117" si="8">AE104/$AE$120</f>
        <v>0</v>
      </c>
      <c r="AG104" s="92">
        <f t="shared" si="3"/>
        <v>0</v>
      </c>
      <c r="AH104" s="92" t="e">
        <f t="shared" ref="AH104:AH117" si="9">AD104*AG104</f>
        <v>#VALUE!</v>
      </c>
      <c r="AI104" s="93">
        <f t="shared" si="1"/>
        <v>0</v>
      </c>
      <c r="AJ104" s="94" t="e">
        <f t="array" aca="1" ref="AJ104" ca="1">SUM(1*(AI104&lt;$AI$98:$AI$117))+1+IF(ROW(AI104)-ROW($AI$98)=0,0,SUM(1*(AI104=OFFSET($AI$98,0,0,INDEX(ROW(AI104)-ROW($AI$98)+1,1)-1,1))))</f>
        <v>#DIV/0!</v>
      </c>
      <c r="AK104" s="106" t="str">
        <f t="shared" si="5"/>
        <v>Billed Metered (BMAC)</v>
      </c>
      <c r="AL104" s="94">
        <f t="shared" ref="AL104:AL117" si="10">IF(AE104&lt;&gt;0,1,0)</f>
        <v>0</v>
      </c>
      <c r="AM104" s="94">
        <f t="shared" si="7"/>
        <v>0</v>
      </c>
      <c r="AN104" s="94">
        <f t="shared" si="2"/>
        <v>0</v>
      </c>
    </row>
    <row r="105" spans="28:40">
      <c r="AC105" s="272" t="s">
        <v>691</v>
      </c>
      <c r="AD105" s="96" t="str">
        <f>IF(Worksheet!F24="n/a",0,Worksheet!F24)</f>
        <v/>
      </c>
      <c r="AE105" s="276">
        <f>IF(Worksheet!H24=0,0,12)</f>
        <v>0</v>
      </c>
      <c r="AF105" s="97">
        <f t="shared" si="8"/>
        <v>0</v>
      </c>
      <c r="AG105" s="97">
        <f t="shared" si="3"/>
        <v>0</v>
      </c>
      <c r="AH105" s="44">
        <f t="shared" si="4"/>
        <v>0</v>
      </c>
      <c r="AI105" s="98">
        <f t="shared" si="1"/>
        <v>0</v>
      </c>
      <c r="AJ105" s="99" t="e">
        <f t="array" aca="1" ref="AJ105" ca="1">SUM(1*(AI105&lt;$AI$98:$AI$117))+1+IF(ROW(AI105)-ROW($AI$98)=0,0,SUM(1*(AI105=OFFSET($AI$98,0,0,INDEX(ROW(AI105)-ROW($AI$98)+1,1)-1,1))))</f>
        <v>#DIV/0!</v>
      </c>
      <c r="AK105" s="107" t="str">
        <f t="shared" si="5"/>
        <v>Billed Unmetered (BUAC)</v>
      </c>
      <c r="AL105" s="99">
        <f t="shared" si="10"/>
        <v>0</v>
      </c>
      <c r="AM105" s="99">
        <f t="shared" si="7"/>
        <v>0</v>
      </c>
      <c r="AN105" s="99">
        <f t="shared" si="2"/>
        <v>0</v>
      </c>
    </row>
    <row r="106" spans="28:40">
      <c r="AC106" s="272" t="s">
        <v>692</v>
      </c>
      <c r="AD106" s="96" t="str">
        <f>IF(Worksheet!F25="n/a",0,Worksheet!F25)</f>
        <v/>
      </c>
      <c r="AE106" s="276">
        <f>IF(Worksheet!H25&gt;0,Worksheet!Y24,0)</f>
        <v>0</v>
      </c>
      <c r="AF106" s="97">
        <f t="shared" si="8"/>
        <v>0</v>
      </c>
      <c r="AG106" s="97">
        <f t="shared" si="3"/>
        <v>0</v>
      </c>
      <c r="AH106" s="44">
        <f t="shared" si="4"/>
        <v>0</v>
      </c>
      <c r="AI106" s="98">
        <f t="shared" si="1"/>
        <v>0</v>
      </c>
      <c r="AJ106" s="99" t="e">
        <f t="array" aca="1" ref="AJ106" ca="1">SUM(1*(AI106&lt;$AI$98:$AI$117))+1+IF(ROW(AI106)-ROW($AI$98)=0,0,SUM(1*(AI106=OFFSET($AI$98,0,0,INDEX(ROW(AI106)-ROW($AI$98)+1,1)-1,1))))</f>
        <v>#DIV/0!</v>
      </c>
      <c r="AK106" s="107" t="str">
        <f t="shared" si="5"/>
        <v>Unbilled Metered (UMAC)</v>
      </c>
      <c r="AL106" s="99">
        <f t="shared" si="10"/>
        <v>0</v>
      </c>
      <c r="AM106" s="99">
        <f t="shared" si="7"/>
        <v>0</v>
      </c>
      <c r="AN106" s="99">
        <f t="shared" si="2"/>
        <v>0</v>
      </c>
    </row>
    <row r="107" spans="28:40">
      <c r="AB107" t="s">
        <v>61</v>
      </c>
      <c r="AC107" s="273" t="s">
        <v>693</v>
      </c>
      <c r="AD107" s="95">
        <f>IF(OR(Worksheet!W26=1,AND(Worksheet!W26=2,Worksheet!Q26=0)),3,Worksheet!F26)</f>
        <v>3</v>
      </c>
      <c r="AE107" s="86">
        <v>2</v>
      </c>
      <c r="AF107" s="87">
        <f t="shared" si="8"/>
        <v>3.3333333333333335</v>
      </c>
      <c r="AG107" s="87">
        <f t="shared" si="3"/>
        <v>0.33333333333333337</v>
      </c>
      <c r="AH107" s="87">
        <f t="shared" si="9"/>
        <v>1</v>
      </c>
      <c r="AI107" s="88">
        <f t="shared" si="1"/>
        <v>2.3333333333333335</v>
      </c>
      <c r="AJ107" s="89" t="e">
        <f t="array" aca="1" ref="AJ107" ca="1">SUM(1*(AI107&lt;$AI$98:$AI$117))+1+IF(ROW(AI107)-ROW($AI$98)=0,0,SUM(1*(AI107=OFFSET($AI$98,0,0,INDEX(ROW(AI107)-ROW($AI$98)+1,1)-1,1))))</f>
        <v>#DIV/0!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5.8333333333333339</v>
      </c>
      <c r="AG108" s="87">
        <f t="shared" si="3"/>
        <v>0.58333333333333337</v>
      </c>
      <c r="AH108" s="87">
        <f t="shared" si="9"/>
        <v>1.75</v>
      </c>
      <c r="AI108" s="88">
        <f t="shared" si="1"/>
        <v>4.0833333333333339</v>
      </c>
      <c r="AJ108" s="89" t="e">
        <f t="array" aca="1" ref="AJ108" ca="1">SUM(1*(AI108&lt;$AI$98:$AI$117))+1+IF(ROW(AI108)-ROW($AI$98)=0,0,SUM(1*(AI108=OFFSET($AI$98,0,0,INDEX(ROW(AI108)-ROW($AI$98)+1,1)-1,1))))</f>
        <v>#DIV/0!</v>
      </c>
      <c r="AK108" s="108" t="str">
        <f t="shared" si="5"/>
        <v>Unauthorized Consumption (UC)</v>
      </c>
      <c r="AL108" s="89">
        <f t="shared" si="10"/>
        <v>1</v>
      </c>
      <c r="AM108" s="89">
        <f t="shared" si="7"/>
        <v>1</v>
      </c>
      <c r="AN108" s="89">
        <f t="shared" si="2"/>
        <v>0</v>
      </c>
    </row>
    <row r="109" spans="28:40">
      <c r="AC109" s="271" t="s">
        <v>694</v>
      </c>
      <c r="AD109" s="90" t="str">
        <f>IF(Worksheet!F41="n/a",0,Worksheet!F41)</f>
        <v/>
      </c>
      <c r="AE109" s="91">
        <f>IF(AND(Worksheet!F41="n/a",Worksheet!H41=0),0,6)</f>
        <v>6</v>
      </c>
      <c r="AF109" s="92">
        <f t="shared" si="8"/>
        <v>10</v>
      </c>
      <c r="AG109" s="92">
        <f t="shared" si="3"/>
        <v>1</v>
      </c>
      <c r="AH109" s="92" t="e">
        <f t="shared" si="9"/>
        <v>#VALUE!</v>
      </c>
      <c r="AI109" s="93" t="e">
        <f t="shared" si="1"/>
        <v>#VALUE!</v>
      </c>
      <c r="AJ109" s="94" t="e">
        <f t="array" aca="1" ref="AJ109" ca="1">SUM(1*(AI109&lt;$AI$98:$AI$117))+1+IF(ROW(AI109)-ROW($AI$98)=0,0,SUM(1*(AI109=OFFSET($AI$98,0,0,INDEX(ROW(AI109)-ROW($AI$98)+1,1)-1,1))))</f>
        <v>#VALUE!</v>
      </c>
      <c r="AK109" s="106" t="str">
        <f t="shared" si="5"/>
        <v>Customer Metering Inaccuracies (CMI)</v>
      </c>
      <c r="AL109" s="94">
        <f t="shared" si="10"/>
        <v>1</v>
      </c>
      <c r="AM109" s="94">
        <f t="shared" si="7"/>
        <v>0</v>
      </c>
      <c r="AN109" s="94">
        <f t="shared" si="2"/>
        <v>1</v>
      </c>
    </row>
    <row r="110" spans="28:40">
      <c r="AC110" s="273" t="s">
        <v>695</v>
      </c>
      <c r="AD110" s="85">
        <f>IF(Worksheet!H39=0,1,IF(Worksheet!W39=1,3,Worksheet!F39))</f>
        <v>1</v>
      </c>
      <c r="AE110" s="86">
        <v>3.5</v>
      </c>
      <c r="AF110" s="87">
        <f t="shared" si="8"/>
        <v>5.8333333333333339</v>
      </c>
      <c r="AG110" s="87">
        <f t="shared" si="3"/>
        <v>0.58333333333333337</v>
      </c>
      <c r="AH110" s="87">
        <f t="shared" si="9"/>
        <v>0.58333333333333337</v>
      </c>
      <c r="AI110" s="88">
        <f t="shared" si="1"/>
        <v>5.2500000000000009</v>
      </c>
      <c r="AJ110" s="89" t="e">
        <f t="array" aca="1" ref="AJ110" ca="1">SUM(1*(AI110&lt;$AI$98:$AI$117))+1+IF(ROW(AI110)-ROW($AI$98)=0,0,SUM(1*(AI110=OFFSET($AI$98,0,0,INDEX(ROW(AI110)-ROW($AI$98)+1,1)-1,1))))</f>
        <v>#DIV/0!</v>
      </c>
      <c r="AK110" s="108" t="str">
        <f t="shared" si="5"/>
        <v>Systematic Data Handling Errors (SDHE)</v>
      </c>
      <c r="AL110" s="89">
        <f t="shared" si="10"/>
        <v>1</v>
      </c>
      <c r="AM110" s="89">
        <f t="shared" si="7"/>
        <v>1</v>
      </c>
      <c r="AN110" s="89">
        <f t="shared" si="2"/>
        <v>0</v>
      </c>
    </row>
    <row r="111" spans="28:40">
      <c r="AC111" s="273" t="s">
        <v>696</v>
      </c>
      <c r="AD111" s="85" t="str">
        <f>Worksheet!F61</f>
        <v/>
      </c>
      <c r="AE111" s="86">
        <v>5</v>
      </c>
      <c r="AF111" s="87">
        <f t="shared" si="8"/>
        <v>8.3333333333333339</v>
      </c>
      <c r="AG111" s="87">
        <f t="shared" si="3"/>
        <v>0.83333333333333337</v>
      </c>
      <c r="AH111" s="87" t="e">
        <f t="shared" si="9"/>
        <v>#VALUE!</v>
      </c>
      <c r="AI111" s="88" t="e">
        <f t="shared" si="1"/>
        <v>#VALUE!</v>
      </c>
      <c r="AJ111" s="89" t="e">
        <f t="array" aca="1" ref="AJ111" ca="1">SUM(1*(AI111&lt;$AI$98:$AI$117))+1+IF(ROW(AI111)-ROW($AI$98)=0,0,SUM(1*(AI111=OFFSET($AI$98,0,0,INDEX(ROW(AI111)-ROW($AI$98)+1,1)-1,1))))</f>
        <v>#VALUE!</v>
      </c>
      <c r="AK111" s="108" t="str">
        <f t="shared" si="5"/>
        <v>Length of Mains (Lm)</v>
      </c>
      <c r="AL111" s="89">
        <f t="shared" si="10"/>
        <v>1</v>
      </c>
      <c r="AM111" s="89">
        <f t="shared" si="7"/>
        <v>0</v>
      </c>
      <c r="AN111" s="89">
        <f t="shared" si="2"/>
        <v>1</v>
      </c>
    </row>
    <row r="112" spans="28:40">
      <c r="AC112" s="273" t="s">
        <v>697</v>
      </c>
      <c r="AD112" s="85" t="str">
        <f>Worksheet!F62</f>
        <v/>
      </c>
      <c r="AE112" s="86">
        <v>5</v>
      </c>
      <c r="AF112" s="87">
        <f t="shared" si="8"/>
        <v>8.3333333333333339</v>
      </c>
      <c r="AG112" s="87">
        <f t="shared" si="3"/>
        <v>0.83333333333333337</v>
      </c>
      <c r="AH112" s="87" t="e">
        <f t="shared" si="9"/>
        <v>#VALUE!</v>
      </c>
      <c r="AI112" s="88" t="e">
        <f t="shared" si="1"/>
        <v>#VALUE!</v>
      </c>
      <c r="AJ112" s="89" t="e">
        <f t="array" aca="1" ref="AJ112" ca="1">SUM(1*(AI112&lt;$AI$98:$AI$117))+1+IF(ROW(AI112)-ROW($AI$98)=0,0,SUM(1*(AI112=OFFSET($AI$98,0,0,INDEX(ROW(AI112)-ROW($AI$98)+1,1)-1,1))))</f>
        <v>#VALUE!</v>
      </c>
      <c r="AK112" s="108" t="str">
        <f t="shared" si="5"/>
        <v>Number of Service Connections (Nc)</v>
      </c>
      <c r="AL112" s="89">
        <f t="shared" si="10"/>
        <v>1</v>
      </c>
      <c r="AM112" s="89">
        <f t="shared" si="7"/>
        <v>0</v>
      </c>
      <c r="AN112" s="89">
        <f t="shared" si="2"/>
        <v>1</v>
      </c>
    </row>
    <row r="113" spans="29:40">
      <c r="AC113" s="273" t="s">
        <v>698</v>
      </c>
      <c r="AD113" s="85" t="str">
        <f>Worksheet!W66</f>
        <v/>
      </c>
      <c r="AE113" s="86">
        <v>2</v>
      </c>
      <c r="AF113" s="87">
        <f t="shared" si="8"/>
        <v>3.3333333333333335</v>
      </c>
      <c r="AG113" s="87">
        <f t="shared" si="3"/>
        <v>0.33333333333333337</v>
      </c>
      <c r="AH113" s="87" t="e">
        <f t="shared" si="9"/>
        <v>#VALUE!</v>
      </c>
      <c r="AI113" s="88" t="e">
        <f t="shared" si="1"/>
        <v>#VALUE!</v>
      </c>
      <c r="AJ113" s="89" t="e">
        <f t="array" aca="1" ref="AJ113" ca="1">SUM(1*(AI113&lt;$AI$98:$AI$117))+1+IF(ROW(AI113)-ROW($AI$98)=0,0,SUM(1*(AI113=OFFSET($AI$98,0,0,INDEX(ROW(AI113)-ROW($AI$98)+1,1)-1,1))))</f>
        <v>#VALUE!</v>
      </c>
      <c r="AK113" s="108" t="str">
        <f t="shared" si="5"/>
        <v>Average Length of Customer Service Line (Lp)</v>
      </c>
      <c r="AL113" s="89">
        <f t="shared" si="10"/>
        <v>1</v>
      </c>
      <c r="AM113" s="89">
        <f t="shared" si="7"/>
        <v>0</v>
      </c>
      <c r="AN113" s="89">
        <f t="shared" si="2"/>
        <v>1</v>
      </c>
    </row>
    <row r="114" spans="29:40">
      <c r="AC114" s="273" t="s">
        <v>699</v>
      </c>
      <c r="AD114" s="85" t="str">
        <f>Worksheet!F68</f>
        <v/>
      </c>
      <c r="AE114" s="86">
        <v>2</v>
      </c>
      <c r="AF114" s="87">
        <f t="shared" si="8"/>
        <v>3.3333333333333335</v>
      </c>
      <c r="AG114" s="87">
        <f t="shared" si="3"/>
        <v>0.33333333333333337</v>
      </c>
      <c r="AH114" s="87" t="e">
        <f t="shared" si="9"/>
        <v>#VALUE!</v>
      </c>
      <c r="AI114" s="88" t="e">
        <f t="shared" si="1"/>
        <v>#VALUE!</v>
      </c>
      <c r="AJ114" s="89" t="e">
        <f t="array" aca="1" ref="AJ114" ca="1">SUM(1*(AI114&lt;$AI$98:$AI$117))+1+IF(ROW(AI114)-ROW($AI$98)=0,0,SUM(1*(AI114=OFFSET($AI$98,0,0,INDEX(ROW(AI114)-ROW($AI$98)+1,1)-1,1))))</f>
        <v>#VALUE!</v>
      </c>
      <c r="AK114" s="108" t="str">
        <f t="shared" si="5"/>
        <v>Average Operating Pressure (AOP)</v>
      </c>
      <c r="AL114" s="89">
        <f t="shared" si="10"/>
        <v>1</v>
      </c>
      <c r="AM114" s="89">
        <f t="shared" si="7"/>
        <v>0</v>
      </c>
      <c r="AN114" s="89">
        <f t="shared" si="2"/>
        <v>1</v>
      </c>
    </row>
    <row r="115" spans="29:40">
      <c r="AC115" s="273"/>
      <c r="AD115" s="85"/>
      <c r="AE115" s="86"/>
      <c r="AF115" s="87"/>
      <c r="AG115" s="87"/>
      <c r="AH115" s="87"/>
      <c r="AI115" s="88"/>
      <c r="AJ115" s="89"/>
      <c r="AK115" s="108"/>
      <c r="AL115" s="89"/>
      <c r="AM115" s="89"/>
      <c r="AN115" s="89"/>
    </row>
    <row r="116" spans="29:40">
      <c r="AC116" s="273" t="s">
        <v>700</v>
      </c>
      <c r="AD116" s="85" t="str">
        <f>IF(Worksheet!F76="n/a",0,Worksheet!F76)</f>
        <v/>
      </c>
      <c r="AE116" s="86">
        <f>IF(Worksheet!F76="n/a",0,5)</f>
        <v>5</v>
      </c>
      <c r="AF116" s="87">
        <f t="shared" si="8"/>
        <v>8.3333333333333339</v>
      </c>
      <c r="AG116" s="87">
        <f t="shared" si="3"/>
        <v>0.83333333333333337</v>
      </c>
      <c r="AH116" s="87" t="e">
        <f t="shared" si="9"/>
        <v>#VALUE!</v>
      </c>
      <c r="AI116" s="88" t="e">
        <f t="shared" si="1"/>
        <v>#VALUE!</v>
      </c>
      <c r="AJ116" s="89" t="e">
        <f t="array" aca="1" ref="AJ116" ca="1">SUM(1*(AI116&lt;$AI$98:$AI$117))+1+IF(ROW(AI116)-ROW($AI$98)=0,0,SUM(1*(AI116=OFFSET($AI$98,0,0,INDEX(ROW(AI116)-ROW($AI$98)+1,1)-1,1))))</f>
        <v>#VALUE!</v>
      </c>
      <c r="AK116" s="108" t="str">
        <f t="shared" si="5"/>
        <v>Customer Retail Unit Charge (CRUC)</v>
      </c>
      <c r="AL116" s="89">
        <f t="shared" si="10"/>
        <v>1</v>
      </c>
      <c r="AM116" s="89">
        <f t="shared" si="7"/>
        <v>0</v>
      </c>
      <c r="AN116" s="89">
        <f t="shared" si="2"/>
        <v>1</v>
      </c>
    </row>
    <row r="117" spans="29:40">
      <c r="AC117" s="273" t="s">
        <v>701</v>
      </c>
      <c r="AD117" s="85" t="str">
        <f>IF(Worksheet!F77="n/a",0,Worksheet!F77)</f>
        <v/>
      </c>
      <c r="AE117" s="86">
        <v>5</v>
      </c>
      <c r="AF117" s="87">
        <f t="shared" si="8"/>
        <v>8.3333333333333339</v>
      </c>
      <c r="AG117" s="87">
        <f t="shared" si="3"/>
        <v>0.83333333333333337</v>
      </c>
      <c r="AH117" s="87" t="e">
        <f t="shared" si="9"/>
        <v>#VALUE!</v>
      </c>
      <c r="AI117" s="88" t="e">
        <f t="shared" si="1"/>
        <v>#VALUE!</v>
      </c>
      <c r="AJ117" s="89" t="e">
        <f t="array" aca="1" ref="AJ117" ca="1">SUM(1*(AI117&lt;$AI$98:$AI$117))+1+IF(ROW(AI117)-ROW($AI$98)=0,0,SUM(1*(AI117=OFFSET($AI$98,0,0,INDEX(ROW(AI117)-ROW($AI$98)+1,1)-1,1))))</f>
        <v>#VALUE!</v>
      </c>
      <c r="AK117" s="108" t="str">
        <f t="shared" si="5"/>
        <v>Variable Production Cost (VPC)</v>
      </c>
      <c r="AL117" s="89">
        <f t="shared" si="10"/>
        <v>1</v>
      </c>
      <c r="AM117" s="89">
        <f t="shared" si="7"/>
        <v>0</v>
      </c>
      <c r="AN117" s="89">
        <f t="shared" si="2"/>
        <v>1</v>
      </c>
    </row>
    <row r="118" spans="29:40">
      <c r="AE118" s="100" t="e">
        <f>SUM(AE98:AE117)</f>
        <v>#DIV/0!</v>
      </c>
      <c r="AF118" s="43" t="e">
        <f>SUM(AF98:AF117)</f>
        <v>#DIV/0!</v>
      </c>
      <c r="AG118" s="43" t="e">
        <f>SUM(AG98:AG117)</f>
        <v>#DIV/0!</v>
      </c>
      <c r="AH118" s="116" t="e">
        <f>SUM(AH98:AH117)</f>
        <v>#VALUE!</v>
      </c>
      <c r="AN118" s="49">
        <f>SUM(AN98:AN117)</f>
        <v>7</v>
      </c>
    </row>
    <row r="119" spans="29:40">
      <c r="AE119" s="43">
        <f>SUM(AE104:AE117)</f>
        <v>39</v>
      </c>
      <c r="AK119" s="109"/>
      <c r="AN119" s="48"/>
    </row>
    <row r="120" spans="29:40">
      <c r="AE120" s="42">
        <f>AE119/(100-AE121)</f>
        <v>0.6</v>
      </c>
    </row>
    <row r="121" spans="29:40">
      <c r="AD121" s="101" t="s">
        <v>135</v>
      </c>
      <c r="AE121" s="102">
        <v>35</v>
      </c>
      <c r="AM121">
        <f>IF(SUM(Worksheet!W26,Worksheet!W43)=2,2,IF(SUM(Worksheet!W26,Worksheet!W43)=3,1,0))</f>
        <v>2</v>
      </c>
      <c r="AN121" t="s">
        <v>60</v>
      </c>
    </row>
    <row r="122" spans="29:40">
      <c r="AN122" s="277" t="s">
        <v>674</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93" t="s">
        <v>163</v>
      </c>
      <c r="C2" s="1394"/>
      <c r="D2" s="1394"/>
      <c r="E2" s="1394"/>
      <c r="F2" s="1394"/>
      <c r="G2" s="1394"/>
      <c r="H2" s="1394"/>
      <c r="I2" s="1394"/>
      <c r="J2" s="1394"/>
      <c r="K2" s="1394"/>
      <c r="L2" s="1394"/>
      <c r="M2" s="1395"/>
      <c r="N2" s="146"/>
    </row>
    <row r="3" spans="1:14" ht="4.3499999999999996" customHeight="1" thickBot="1">
      <c r="A3" s="143"/>
      <c r="B3" s="1393"/>
      <c r="C3" s="1394"/>
      <c r="D3" s="1394"/>
      <c r="E3" s="1394"/>
      <c r="F3" s="1394"/>
      <c r="G3" s="1394"/>
      <c r="H3" s="1394"/>
      <c r="I3" s="1394"/>
      <c r="J3" s="1394"/>
      <c r="K3" s="1394"/>
      <c r="L3" s="1394"/>
      <c r="M3" s="1395"/>
      <c r="N3" s="146"/>
    </row>
    <row r="4" spans="1:14" s="134" customFormat="1" ht="15" customHeight="1" thickBot="1">
      <c r="A4" s="148"/>
      <c r="B4" s="498"/>
      <c r="C4" s="499" t="s">
        <v>120</v>
      </c>
      <c r="D4" s="1396" t="s">
        <v>121</v>
      </c>
      <c r="E4" s="1397"/>
      <c r="F4" s="1397"/>
      <c r="G4" s="1397"/>
      <c r="H4" s="1397"/>
      <c r="I4" s="1397"/>
      <c r="J4" s="1397"/>
      <c r="K4" s="1397"/>
      <c r="L4" s="1398"/>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63" t="s">
        <v>957</v>
      </c>
      <c r="E6" s="1364"/>
      <c r="F6" s="1364"/>
      <c r="G6" s="1364"/>
      <c r="H6" s="1364"/>
      <c r="I6" s="1364"/>
      <c r="J6" s="1364"/>
      <c r="K6" s="1364"/>
      <c r="L6" s="1365"/>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63" t="s">
        <v>1216</v>
      </c>
      <c r="E8" s="1364"/>
      <c r="F8" s="1364"/>
      <c r="G8" s="1364"/>
      <c r="H8" s="1364"/>
      <c r="I8" s="1364"/>
      <c r="J8" s="1364"/>
      <c r="K8" s="1364"/>
      <c r="L8" s="1365"/>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68" t="s">
        <v>1217</v>
      </c>
      <c r="E10" s="1399"/>
      <c r="F10" s="1399"/>
      <c r="G10" s="1399"/>
      <c r="H10" s="1399"/>
      <c r="I10" s="1399"/>
      <c r="J10" s="1399"/>
      <c r="K10" s="1399"/>
      <c r="L10" s="1400"/>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68" t="s">
        <v>1218</v>
      </c>
      <c r="E12" s="1369"/>
      <c r="F12" s="1369"/>
      <c r="G12" s="1369"/>
      <c r="H12" s="1369"/>
      <c r="I12" s="1369"/>
      <c r="J12" s="1369"/>
      <c r="K12" s="1369"/>
      <c r="L12" s="1370"/>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88" t="s">
        <v>119</v>
      </c>
      <c r="E14" s="1369"/>
      <c r="F14" s="1369"/>
      <c r="G14" s="1369"/>
      <c r="H14" s="1369"/>
      <c r="I14" s="1369"/>
      <c r="J14" s="1369"/>
      <c r="K14" s="1369"/>
      <c r="L14" s="1370"/>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88" t="s">
        <v>152</v>
      </c>
      <c r="E16" s="1369"/>
      <c r="F16" s="1369"/>
      <c r="G16" s="1369"/>
      <c r="H16" s="1369"/>
      <c r="I16" s="1369"/>
      <c r="J16" s="1369"/>
      <c r="K16" s="1369"/>
      <c r="L16" s="1370"/>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88" t="s">
        <v>153</v>
      </c>
      <c r="E18" s="1369"/>
      <c r="F18" s="1369"/>
      <c r="G18" s="1369"/>
      <c r="H18" s="1369"/>
      <c r="I18" s="1369"/>
      <c r="J18" s="1369"/>
      <c r="K18" s="1369"/>
      <c r="L18" s="1370"/>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68" t="s">
        <v>761</v>
      </c>
      <c r="E20" s="1369"/>
      <c r="F20" s="1369"/>
      <c r="G20" s="1369"/>
      <c r="H20" s="1369"/>
      <c r="I20" s="1369"/>
      <c r="J20" s="1369"/>
      <c r="K20" s="1369"/>
      <c r="L20" s="1370"/>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68" t="s">
        <v>982</v>
      </c>
      <c r="E22" s="1369"/>
      <c r="F22" s="1369"/>
      <c r="G22" s="1369"/>
      <c r="H22" s="1369"/>
      <c r="I22" s="1369"/>
      <c r="J22" s="1369"/>
      <c r="K22" s="1369"/>
      <c r="L22" s="1370"/>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68" t="s">
        <v>1215</v>
      </c>
      <c r="E24" s="1369"/>
      <c r="F24" s="1369"/>
      <c r="G24" s="1369"/>
      <c r="H24" s="1369"/>
      <c r="I24" s="1369"/>
      <c r="J24" s="1369"/>
      <c r="K24" s="1369"/>
      <c r="L24" s="1370"/>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88" t="s">
        <v>154</v>
      </c>
      <c r="E26" s="1369"/>
      <c r="F26" s="1369"/>
      <c r="G26" s="1369"/>
      <c r="H26" s="1369"/>
      <c r="I26" s="1369"/>
      <c r="J26" s="1369"/>
      <c r="K26" s="1369"/>
      <c r="L26" s="1370"/>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90" t="s">
        <v>155</v>
      </c>
      <c r="E28" s="1364"/>
      <c r="F28" s="1364"/>
      <c r="G28" s="1364"/>
      <c r="H28" s="1364"/>
      <c r="I28" s="1364"/>
      <c r="J28" s="1364"/>
      <c r="K28" s="1364"/>
      <c r="L28" s="1365"/>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68" t="s">
        <v>1202</v>
      </c>
      <c r="E30" s="1369"/>
      <c r="F30" s="1369"/>
      <c r="G30" s="1369"/>
      <c r="H30" s="1369"/>
      <c r="I30" s="1369"/>
      <c r="J30" s="1369"/>
      <c r="K30" s="1369"/>
      <c r="L30" s="1370"/>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88" t="s">
        <v>156</v>
      </c>
      <c r="E32" s="1369"/>
      <c r="F32" s="1369"/>
      <c r="G32" s="1369"/>
      <c r="H32" s="1369"/>
      <c r="I32" s="1369"/>
      <c r="J32" s="1369"/>
      <c r="K32" s="1369"/>
      <c r="L32" s="1370"/>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88" t="s">
        <v>157</v>
      </c>
      <c r="E34" s="1369"/>
      <c r="F34" s="1369"/>
      <c r="G34" s="1369"/>
      <c r="H34" s="1369"/>
      <c r="I34" s="1369"/>
      <c r="J34" s="1369"/>
      <c r="K34" s="1369"/>
      <c r="L34" s="1370"/>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90" t="s">
        <v>158</v>
      </c>
      <c r="E36" s="1369"/>
      <c r="F36" s="1369"/>
      <c r="G36" s="1369"/>
      <c r="H36" s="1369"/>
      <c r="I36" s="1369"/>
      <c r="J36" s="1369"/>
      <c r="K36" s="1369"/>
      <c r="L36" s="1370"/>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68" t="s">
        <v>1203</v>
      </c>
      <c r="E38" s="1369"/>
      <c r="F38" s="1369"/>
      <c r="G38" s="1369"/>
      <c r="H38" s="1369"/>
      <c r="I38" s="1369"/>
      <c r="J38" s="1369"/>
      <c r="K38" s="1369"/>
      <c r="L38" s="1370"/>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68" t="s">
        <v>905</v>
      </c>
      <c r="E40" s="1369"/>
      <c r="F40" s="1369"/>
      <c r="G40" s="1369"/>
      <c r="H40" s="1369"/>
      <c r="I40" s="1369"/>
      <c r="J40" s="1369"/>
      <c r="K40" s="1369"/>
      <c r="L40" s="1370"/>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68" t="s">
        <v>672</v>
      </c>
      <c r="E42" s="1369"/>
      <c r="F42" s="1369"/>
      <c r="G42" s="1369"/>
      <c r="H42" s="1369"/>
      <c r="I42" s="1369"/>
      <c r="J42" s="1369"/>
      <c r="K42" s="1369"/>
      <c r="L42" s="1370"/>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77" t="s">
        <v>32</v>
      </c>
      <c r="D44" s="1379" t="s">
        <v>1219</v>
      </c>
      <c r="E44" s="1380"/>
      <c r="F44" s="1380"/>
      <c r="G44" s="1380"/>
      <c r="H44" s="1380"/>
      <c r="I44" s="1380"/>
      <c r="J44" s="1380"/>
      <c r="K44" s="1380"/>
      <c r="L44" s="1381"/>
      <c r="M44" s="505"/>
      <c r="N44" s="146"/>
    </row>
    <row r="45" spans="1:14" ht="13.5" thickBot="1">
      <c r="A45" s="143"/>
      <c r="B45" s="501"/>
      <c r="C45" s="1378"/>
      <c r="D45" s="1382"/>
      <c r="E45" s="1383"/>
      <c r="F45" s="1383"/>
      <c r="G45" s="1383"/>
      <c r="H45" s="1383"/>
      <c r="I45" s="1383"/>
      <c r="J45" s="1383"/>
      <c r="K45" s="1383"/>
      <c r="L45" s="1384"/>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68" t="s">
        <v>1220</v>
      </c>
      <c r="E47" s="1369"/>
      <c r="F47" s="1369"/>
      <c r="G47" s="1369"/>
      <c r="H47" s="1369"/>
      <c r="I47" s="1369"/>
      <c r="J47" s="1369"/>
      <c r="K47" s="1369"/>
      <c r="L47" s="1370"/>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88" t="s">
        <v>160</v>
      </c>
      <c r="E49" s="1369"/>
      <c r="F49" s="1369"/>
      <c r="G49" s="1369"/>
      <c r="H49" s="1369"/>
      <c r="I49" s="1369"/>
      <c r="J49" s="1369"/>
      <c r="K49" s="1369"/>
      <c r="L49" s="1370"/>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68" t="s">
        <v>1221</v>
      </c>
      <c r="E51" s="1369"/>
      <c r="F51" s="1369"/>
      <c r="G51" s="1369"/>
      <c r="H51" s="1369"/>
      <c r="I51" s="1369"/>
      <c r="J51" s="1369"/>
      <c r="K51" s="1369"/>
      <c r="L51" s="1370"/>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77" t="s">
        <v>26</v>
      </c>
      <c r="D53" s="1379" t="s">
        <v>984</v>
      </c>
      <c r="E53" s="1380"/>
      <c r="F53" s="1380"/>
      <c r="G53" s="1380"/>
      <c r="H53" s="1380"/>
      <c r="I53" s="1380"/>
      <c r="J53" s="1380"/>
      <c r="K53" s="1380"/>
      <c r="L53" s="1381"/>
      <c r="M53" s="505"/>
      <c r="N53" s="146"/>
    </row>
    <row r="54" spans="1:14" ht="18" customHeight="1">
      <c r="A54" s="143"/>
      <c r="B54" s="501"/>
      <c r="C54" s="1386"/>
      <c r="D54" s="516"/>
      <c r="E54" s="1385" t="s">
        <v>106</v>
      </c>
      <c r="F54" s="1385"/>
      <c r="G54" s="517" t="s">
        <v>104</v>
      </c>
      <c r="H54" s="517"/>
      <c r="I54" s="1389" t="s">
        <v>105</v>
      </c>
      <c r="J54" s="1389"/>
      <c r="K54" s="515"/>
      <c r="L54" s="518"/>
      <c r="M54" s="505"/>
      <c r="N54" s="146"/>
    </row>
    <row r="55" spans="1:14" ht="18.75" customHeight="1">
      <c r="A55" s="143"/>
      <c r="B55" s="501"/>
      <c r="C55" s="1386"/>
      <c r="D55" s="516"/>
      <c r="E55" s="1366">
        <v>100</v>
      </c>
      <c r="F55" s="1367"/>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86"/>
      <c r="D56" s="516"/>
      <c r="E56" s="503"/>
      <c r="F56" s="503"/>
      <c r="G56" s="1387" t="str">
        <f>"(conversion factor = "&amp;ROUND(INDEX(Sheet1!N2:P4,MATCH(G55,Sheet1!M2:M4,0),MATCH(J55,Sheet1!N1:P1,0)),4)&amp;")"</f>
        <v>(conversion factor = 3.0689)</v>
      </c>
      <c r="H56" s="1387"/>
      <c r="I56" s="1387"/>
      <c r="J56" s="1387"/>
      <c r="K56" s="515"/>
      <c r="L56" s="518"/>
      <c r="M56" s="505"/>
      <c r="N56" s="146"/>
    </row>
    <row r="57" spans="1:14" ht="3.75" customHeight="1" thickBot="1">
      <c r="A57" s="143"/>
      <c r="B57" s="501"/>
      <c r="C57" s="1378"/>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68" t="s">
        <v>1110</v>
      </c>
      <c r="E59" s="1369"/>
      <c r="F59" s="1369"/>
      <c r="G59" s="1369"/>
      <c r="H59" s="1369"/>
      <c r="I59" s="1369"/>
      <c r="J59" s="1369"/>
      <c r="K59" s="1369"/>
      <c r="L59" s="1370"/>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68" t="s">
        <v>768</v>
      </c>
      <c r="E61" s="1369"/>
      <c r="F61" s="1369"/>
      <c r="G61" s="1369"/>
      <c r="H61" s="1369"/>
      <c r="I61" s="1369"/>
      <c r="J61" s="1369"/>
      <c r="K61" s="1369"/>
      <c r="L61" s="1370"/>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68" t="s">
        <v>1230</v>
      </c>
      <c r="E63" s="1369"/>
      <c r="F63" s="1369"/>
      <c r="G63" s="1369"/>
      <c r="H63" s="1369"/>
      <c r="I63" s="1369"/>
      <c r="J63" s="1369"/>
      <c r="K63" s="1369"/>
      <c r="L63" s="1370"/>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68" t="s">
        <v>765</v>
      </c>
      <c r="E65" s="1369"/>
      <c r="F65" s="1369"/>
      <c r="G65" s="1369"/>
      <c r="H65" s="1369"/>
      <c r="I65" s="1369"/>
      <c r="J65" s="1369"/>
      <c r="K65" s="1369"/>
      <c r="L65" s="1370"/>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68" t="s">
        <v>1229</v>
      </c>
      <c r="E67" s="1369"/>
      <c r="F67" s="1369"/>
      <c r="G67" s="1369"/>
      <c r="H67" s="1369"/>
      <c r="I67" s="1369"/>
      <c r="J67" s="1369"/>
      <c r="K67" s="1369"/>
      <c r="L67" s="1370"/>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68" t="s">
        <v>764</v>
      </c>
      <c r="E69" s="1369"/>
      <c r="F69" s="1369"/>
      <c r="G69" s="1369"/>
      <c r="H69" s="1369"/>
      <c r="I69" s="1369"/>
      <c r="J69" s="1369"/>
      <c r="K69" s="1369"/>
      <c r="L69" s="1370"/>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68" t="s">
        <v>1228</v>
      </c>
      <c r="E71" s="1369"/>
      <c r="F71" s="1369"/>
      <c r="G71" s="1369"/>
      <c r="H71" s="1369"/>
      <c r="I71" s="1369"/>
      <c r="J71" s="1369"/>
      <c r="K71" s="1369"/>
      <c r="L71" s="1370"/>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91" t="s">
        <v>1227</v>
      </c>
      <c r="D73" s="1371" t="s">
        <v>1250</v>
      </c>
      <c r="E73" s="1372"/>
      <c r="F73" s="1372"/>
      <c r="G73" s="1372"/>
      <c r="H73" s="1372"/>
      <c r="I73" s="1372"/>
      <c r="J73" s="1372"/>
      <c r="K73" s="1372"/>
      <c r="L73" s="1373"/>
      <c r="M73" s="505"/>
      <c r="N73" s="146"/>
    </row>
    <row r="74" spans="1:14" ht="302.45" customHeight="1" thickBot="1">
      <c r="A74" s="143"/>
      <c r="B74" s="501"/>
      <c r="C74" s="1392"/>
      <c r="D74" s="1374"/>
      <c r="E74" s="1375"/>
      <c r="F74" s="1375"/>
      <c r="G74" s="1375"/>
      <c r="H74" s="1375"/>
      <c r="I74" s="1375"/>
      <c r="J74" s="1375"/>
      <c r="K74" s="1375"/>
      <c r="L74" s="1376"/>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63" t="s">
        <v>983</v>
      </c>
      <c r="E76" s="1364"/>
      <c r="F76" s="1364"/>
      <c r="G76" s="1364"/>
      <c r="H76" s="1364"/>
      <c r="I76" s="1364"/>
      <c r="J76" s="1364"/>
      <c r="K76" s="1364"/>
      <c r="L76" s="1365"/>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785</v>
      </c>
      <c r="C2" s="1317"/>
      <c r="D2" s="1317"/>
      <c r="E2" s="1317"/>
      <c r="F2" s="1317"/>
      <c r="G2" s="1317"/>
      <c r="H2" s="1317"/>
      <c r="I2" s="1317"/>
      <c r="J2" s="1317"/>
      <c r="K2" s="1317"/>
      <c r="L2" s="1317"/>
      <c r="M2" s="1317"/>
      <c r="N2" s="1317"/>
      <c r="O2" s="1317"/>
      <c r="P2" s="1317"/>
      <c r="Q2" s="1317"/>
      <c r="R2" s="1317"/>
      <c r="S2" s="131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5" t="s">
        <v>1193</v>
      </c>
      <c r="D4" s="1426"/>
      <c r="E4" s="1426"/>
      <c r="F4" s="1426"/>
      <c r="G4" s="1426"/>
      <c r="H4" s="1426"/>
      <c r="I4" s="1426"/>
      <c r="J4" s="1426"/>
      <c r="K4" s="1426"/>
      <c r="L4" s="1426"/>
      <c r="M4" s="1426"/>
      <c r="N4" s="1426"/>
      <c r="O4" s="1426"/>
      <c r="P4" s="1426"/>
      <c r="Q4" s="1426"/>
      <c r="R4" s="1427"/>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8" t="s">
        <v>235</v>
      </c>
      <c r="D6" s="1429"/>
      <c r="E6" s="1429"/>
      <c r="F6" s="1429"/>
      <c r="G6" s="1429"/>
      <c r="H6" s="1429"/>
      <c r="I6" s="1429"/>
      <c r="J6" s="1429"/>
      <c r="K6" s="1429"/>
      <c r="L6" s="1429"/>
      <c r="M6" s="1429"/>
      <c r="N6" s="1429"/>
      <c r="O6" s="1429"/>
      <c r="P6" s="1429"/>
      <c r="Q6" s="1429"/>
      <c r="R6" s="1430"/>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07" t="s">
        <v>1172</v>
      </c>
      <c r="E15" s="1407"/>
      <c r="F15" s="1407"/>
      <c r="G15" s="1407"/>
      <c r="H15" s="1407"/>
      <c r="I15" s="1407"/>
      <c r="J15" s="1407"/>
      <c r="K15" s="1407"/>
      <c r="L15" s="1407"/>
      <c r="M15" s="1407"/>
      <c r="N15" s="1407"/>
      <c r="O15" s="1407"/>
      <c r="P15" s="1407"/>
      <c r="Q15" s="1407"/>
      <c r="R15" s="549"/>
      <c r="S15" s="505"/>
      <c r="T15" s="157"/>
      <c r="U15" s="56"/>
      <c r="V15" s="115"/>
    </row>
    <row r="16" spans="1:22" s="104" customFormat="1" ht="12.75" hidden="1" customHeight="1">
      <c r="A16" s="145"/>
      <c r="B16" s="540"/>
      <c r="C16" s="547"/>
      <c r="D16" s="1407"/>
      <c r="E16" s="1407"/>
      <c r="F16" s="1407"/>
      <c r="G16" s="1407"/>
      <c r="H16" s="1407"/>
      <c r="I16" s="1407"/>
      <c r="J16" s="1407"/>
      <c r="K16" s="1407"/>
      <c r="L16" s="1407"/>
      <c r="M16" s="1407"/>
      <c r="N16" s="1407"/>
      <c r="O16" s="1407"/>
      <c r="P16" s="1407"/>
      <c r="Q16" s="1407"/>
      <c r="R16" s="549"/>
      <c r="S16" s="505"/>
      <c r="T16" s="157"/>
      <c r="U16" s="56"/>
      <c r="V16" s="115"/>
    </row>
    <row r="17" spans="1:22" s="104" customFormat="1" ht="23.45" customHeight="1" thickBot="1">
      <c r="A17" s="145"/>
      <c r="B17" s="540"/>
      <c r="C17" s="550"/>
      <c r="D17" s="1408"/>
      <c r="E17" s="1408"/>
      <c r="F17" s="1408"/>
      <c r="G17" s="1408"/>
      <c r="H17" s="1408"/>
      <c r="I17" s="1408"/>
      <c r="J17" s="1408"/>
      <c r="K17" s="1408"/>
      <c r="L17" s="1408"/>
      <c r="M17" s="1408"/>
      <c r="N17" s="1408"/>
      <c r="O17" s="1408"/>
      <c r="P17" s="1408"/>
      <c r="Q17" s="1408"/>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3"/>
      <c r="E19" s="1423"/>
      <c r="F19" s="1423"/>
      <c r="G19" s="1423"/>
      <c r="H19" s="1423"/>
      <c r="I19" s="1423"/>
      <c r="J19" s="1423"/>
      <c r="K19" s="1423"/>
      <c r="L19" s="1423"/>
      <c r="M19" s="1423"/>
      <c r="N19" s="1423"/>
      <c r="O19" s="1423"/>
      <c r="P19" s="1423"/>
      <c r="Q19" s="1423"/>
      <c r="R19" s="1424"/>
      <c r="S19" s="505"/>
      <c r="T19" s="157"/>
      <c r="U19" s="56"/>
      <c r="V19" s="115"/>
    </row>
    <row r="20" spans="1:22" s="135" customFormat="1" ht="36.4" customHeight="1">
      <c r="A20" s="1088"/>
      <c r="B20" s="1089"/>
      <c r="C20" s="1409" t="s">
        <v>1263</v>
      </c>
      <c r="D20" s="1410"/>
      <c r="E20" s="1410"/>
      <c r="F20" s="1410"/>
      <c r="G20" s="1410"/>
      <c r="H20" s="1410"/>
      <c r="I20" s="1410"/>
      <c r="J20" s="1410"/>
      <c r="K20" s="1410"/>
      <c r="L20" s="1410"/>
      <c r="M20" s="1410"/>
      <c r="N20" s="1410"/>
      <c r="O20" s="1410"/>
      <c r="P20" s="1410"/>
      <c r="Q20" s="1410"/>
      <c r="R20" s="1411"/>
      <c r="S20" s="511"/>
      <c r="T20" s="1090"/>
      <c r="U20" s="1091"/>
      <c r="V20" s="1092"/>
    </row>
    <row r="21" spans="1:22" s="135" customFormat="1" ht="15" customHeight="1">
      <c r="A21" s="1088"/>
      <c r="B21" s="1089"/>
      <c r="C21" s="1409" t="s">
        <v>1174</v>
      </c>
      <c r="D21" s="1410"/>
      <c r="E21" s="1410"/>
      <c r="F21" s="1410"/>
      <c r="G21" s="1410"/>
      <c r="H21" s="1410"/>
      <c r="I21" s="1410"/>
      <c r="J21" s="1410"/>
      <c r="K21" s="1410"/>
      <c r="L21" s="1410"/>
      <c r="M21" s="1410"/>
      <c r="N21" s="1410"/>
      <c r="O21" s="1410"/>
      <c r="P21" s="1410"/>
      <c r="Q21" s="1410"/>
      <c r="R21" s="1411"/>
      <c r="S21" s="511"/>
      <c r="T21" s="1090"/>
      <c r="U21" s="1091"/>
      <c r="V21" s="1092"/>
    </row>
    <row r="22" spans="1:22" s="135" customFormat="1" ht="15" customHeight="1">
      <c r="A22" s="1088"/>
      <c r="B22" s="1089"/>
      <c r="C22" s="1409" t="s">
        <v>1175</v>
      </c>
      <c r="D22" s="1410"/>
      <c r="E22" s="1410"/>
      <c r="F22" s="1410"/>
      <c r="G22" s="1410"/>
      <c r="H22" s="1410"/>
      <c r="I22" s="1410"/>
      <c r="J22" s="1410"/>
      <c r="K22" s="1410"/>
      <c r="L22" s="1410"/>
      <c r="M22" s="1410"/>
      <c r="N22" s="1410"/>
      <c r="O22" s="1410"/>
      <c r="P22" s="1410"/>
      <c r="Q22" s="1410"/>
      <c r="R22" s="1411"/>
      <c r="S22" s="511"/>
      <c r="T22" s="1090"/>
      <c r="U22" s="1091"/>
      <c r="V22" s="1092"/>
    </row>
    <row r="23" spans="1:22" s="135" customFormat="1" ht="15" customHeight="1">
      <c r="A23" s="1088"/>
      <c r="B23" s="1089"/>
      <c r="C23" s="1409" t="s">
        <v>1261</v>
      </c>
      <c r="D23" s="1410"/>
      <c r="E23" s="1410"/>
      <c r="F23" s="1410"/>
      <c r="G23" s="1410"/>
      <c r="H23" s="1410"/>
      <c r="I23" s="1410"/>
      <c r="J23" s="1410"/>
      <c r="K23" s="1410"/>
      <c r="L23" s="1410"/>
      <c r="M23" s="1410"/>
      <c r="N23" s="1410"/>
      <c r="O23" s="1410"/>
      <c r="P23" s="1410"/>
      <c r="Q23" s="1410"/>
      <c r="R23" s="1411"/>
      <c r="S23" s="511"/>
      <c r="T23" s="1090"/>
      <c r="U23" s="1091"/>
      <c r="V23" s="1092"/>
    </row>
    <row r="24" spans="1:22" s="135" customFormat="1" ht="15" customHeight="1">
      <c r="A24" s="1088"/>
      <c r="B24" s="1089"/>
      <c r="C24" s="1409" t="s">
        <v>1262</v>
      </c>
      <c r="D24" s="1410"/>
      <c r="E24" s="1410"/>
      <c r="F24" s="1410"/>
      <c r="G24" s="1410"/>
      <c r="H24" s="1410"/>
      <c r="I24" s="1410"/>
      <c r="J24" s="1410"/>
      <c r="K24" s="1410"/>
      <c r="L24" s="1410"/>
      <c r="M24" s="1410"/>
      <c r="N24" s="1410"/>
      <c r="O24" s="1410"/>
      <c r="P24" s="1410"/>
      <c r="Q24" s="1410"/>
      <c r="R24" s="1411"/>
      <c r="S24" s="511"/>
      <c r="T24" s="1090"/>
      <c r="U24" s="1091"/>
      <c r="V24" s="1092"/>
    </row>
    <row r="25" spans="1:22" s="135" customFormat="1" ht="15" customHeight="1">
      <c r="A25" s="1088"/>
      <c r="B25" s="1089"/>
      <c r="C25" s="1409" t="s">
        <v>1176</v>
      </c>
      <c r="D25" s="1410"/>
      <c r="E25" s="1410"/>
      <c r="F25" s="1410"/>
      <c r="G25" s="1410"/>
      <c r="H25" s="1410"/>
      <c r="I25" s="1410"/>
      <c r="J25" s="1410"/>
      <c r="K25" s="1410"/>
      <c r="L25" s="1410"/>
      <c r="M25" s="1410"/>
      <c r="N25" s="1410"/>
      <c r="O25" s="1410"/>
      <c r="P25" s="1410"/>
      <c r="Q25" s="1410"/>
      <c r="R25" s="1411"/>
      <c r="S25" s="511"/>
      <c r="T25" s="1090"/>
      <c r="U25" s="1091"/>
      <c r="V25" s="1092"/>
    </row>
    <row r="26" spans="1:22" s="135" customFormat="1" ht="15" customHeight="1">
      <c r="A26" s="1088"/>
      <c r="B26" s="1089"/>
      <c r="C26" s="1409" t="s">
        <v>1177</v>
      </c>
      <c r="D26" s="1410"/>
      <c r="E26" s="1410"/>
      <c r="F26" s="1410"/>
      <c r="G26" s="1410"/>
      <c r="H26" s="1410"/>
      <c r="I26" s="1410"/>
      <c r="J26" s="1410"/>
      <c r="K26" s="1410"/>
      <c r="L26" s="1410"/>
      <c r="M26" s="1410"/>
      <c r="N26" s="1410"/>
      <c r="O26" s="1410"/>
      <c r="P26" s="1410"/>
      <c r="Q26" s="1410"/>
      <c r="R26" s="1411"/>
      <c r="S26" s="511"/>
      <c r="T26" s="1090"/>
      <c r="U26" s="1091"/>
      <c r="V26" s="1092"/>
    </row>
    <row r="27" spans="1:22" s="135" customFormat="1" ht="15" customHeight="1">
      <c r="A27" s="1088"/>
      <c r="B27" s="1089"/>
      <c r="C27" s="1409" t="s">
        <v>1240</v>
      </c>
      <c r="D27" s="1410"/>
      <c r="E27" s="1410"/>
      <c r="F27" s="1410"/>
      <c r="G27" s="1410"/>
      <c r="H27" s="1410"/>
      <c r="I27" s="1410"/>
      <c r="J27" s="1410"/>
      <c r="K27" s="1410"/>
      <c r="L27" s="1410"/>
      <c r="M27" s="1410"/>
      <c r="N27" s="1410"/>
      <c r="O27" s="1410"/>
      <c r="P27" s="1410"/>
      <c r="Q27" s="1410"/>
      <c r="R27" s="1411"/>
      <c r="S27" s="511"/>
      <c r="T27" s="1090"/>
      <c r="U27" s="1091"/>
      <c r="V27" s="1092"/>
    </row>
    <row r="28" spans="1:22" s="135" customFormat="1" ht="15" customHeight="1">
      <c r="A28" s="1088"/>
      <c r="B28" s="1089"/>
      <c r="C28" s="1409" t="s">
        <v>1241</v>
      </c>
      <c r="D28" s="1410"/>
      <c r="E28" s="1410"/>
      <c r="F28" s="1410"/>
      <c r="G28" s="1410"/>
      <c r="H28" s="1410"/>
      <c r="I28" s="1410"/>
      <c r="J28" s="1410"/>
      <c r="K28" s="1410"/>
      <c r="L28" s="1410"/>
      <c r="M28" s="1410"/>
      <c r="N28" s="1410"/>
      <c r="O28" s="1410"/>
      <c r="P28" s="1410"/>
      <c r="Q28" s="1410"/>
      <c r="R28" s="1411"/>
      <c r="S28" s="511"/>
      <c r="T28" s="1090"/>
      <c r="U28" s="1091"/>
      <c r="V28" s="1092"/>
    </row>
    <row r="29" spans="1:22" s="135" customFormat="1" ht="15" customHeight="1">
      <c r="A29" s="1088"/>
      <c r="B29" s="1089"/>
      <c r="C29" s="1409" t="s">
        <v>1178</v>
      </c>
      <c r="D29" s="1410"/>
      <c r="E29" s="1410"/>
      <c r="F29" s="1410"/>
      <c r="G29" s="1410"/>
      <c r="H29" s="1410"/>
      <c r="I29" s="1410"/>
      <c r="J29" s="1410"/>
      <c r="K29" s="1410"/>
      <c r="L29" s="1410"/>
      <c r="M29" s="1410"/>
      <c r="N29" s="1410"/>
      <c r="O29" s="1410"/>
      <c r="P29" s="1410"/>
      <c r="Q29" s="1410"/>
      <c r="R29" s="1411"/>
      <c r="S29" s="511"/>
      <c r="T29" s="1090"/>
      <c r="U29" s="1091"/>
      <c r="V29" s="1092"/>
    </row>
    <row r="30" spans="1:22" s="135" customFormat="1" ht="27.4" customHeight="1" thickBot="1">
      <c r="A30" s="1088"/>
      <c r="B30" s="1089"/>
      <c r="C30" s="1431" t="s">
        <v>1264</v>
      </c>
      <c r="D30" s="1432"/>
      <c r="E30" s="1432"/>
      <c r="F30" s="1432"/>
      <c r="G30" s="1432"/>
      <c r="H30" s="1432"/>
      <c r="I30" s="1432"/>
      <c r="J30" s="1432"/>
      <c r="K30" s="1432"/>
      <c r="L30" s="1432"/>
      <c r="M30" s="1432"/>
      <c r="N30" s="1432"/>
      <c r="O30" s="1432"/>
      <c r="P30" s="1432"/>
      <c r="Q30" s="1432"/>
      <c r="R30" s="1433"/>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6" t="s">
        <v>254</v>
      </c>
      <c r="G33" s="1417"/>
      <c r="H33" s="1417"/>
      <c r="I33" s="1417"/>
      <c r="J33" s="1417"/>
      <c r="K33" s="1417"/>
      <c r="L33" s="1417"/>
      <c r="M33" s="1417"/>
      <c r="N33" s="1417"/>
      <c r="O33" s="1417"/>
      <c r="P33" s="1417"/>
      <c r="Q33" s="1417"/>
      <c r="R33" s="1418"/>
      <c r="S33" s="505"/>
      <c r="T33" s="157"/>
      <c r="U33" s="56"/>
      <c r="V33" s="115"/>
    </row>
    <row r="34" spans="1:22" s="104" customFormat="1" ht="35.1" customHeight="1">
      <c r="A34" s="145"/>
      <c r="B34" s="540"/>
      <c r="C34" s="556" t="s">
        <v>241</v>
      </c>
      <c r="D34" s="557" t="s">
        <v>252</v>
      </c>
      <c r="E34" s="558">
        <v>5</v>
      </c>
      <c r="F34" s="1419" t="s">
        <v>246</v>
      </c>
      <c r="G34" s="1420"/>
      <c r="H34" s="1420"/>
      <c r="I34" s="1420"/>
      <c r="J34" s="1420"/>
      <c r="K34" s="1420"/>
      <c r="L34" s="1420"/>
      <c r="M34" s="1420"/>
      <c r="N34" s="1420"/>
      <c r="O34" s="1420"/>
      <c r="P34" s="1420"/>
      <c r="Q34" s="1420"/>
      <c r="R34" s="1421"/>
      <c r="S34" s="505"/>
      <c r="T34" s="157"/>
      <c r="U34" s="56"/>
      <c r="V34" s="115"/>
    </row>
    <row r="35" spans="1:22" s="104" customFormat="1" ht="47.45" customHeight="1">
      <c r="A35" s="145"/>
      <c r="B35" s="540"/>
      <c r="C35" s="556" t="s">
        <v>242</v>
      </c>
      <c r="D35" s="558">
        <v>2006</v>
      </c>
      <c r="E35" s="558">
        <v>5</v>
      </c>
      <c r="F35" s="1419" t="s">
        <v>247</v>
      </c>
      <c r="G35" s="1420"/>
      <c r="H35" s="1420"/>
      <c r="I35" s="1420"/>
      <c r="J35" s="1420"/>
      <c r="K35" s="1420"/>
      <c r="L35" s="1420"/>
      <c r="M35" s="1420"/>
      <c r="N35" s="1420"/>
      <c r="O35" s="1420"/>
      <c r="P35" s="1420"/>
      <c r="Q35" s="1420"/>
      <c r="R35" s="1421"/>
      <c r="S35" s="505"/>
      <c r="T35" s="157"/>
      <c r="U35" s="56"/>
      <c r="V35" s="115"/>
    </row>
    <row r="36" spans="1:22" s="104" customFormat="1" ht="59.45" customHeight="1">
      <c r="A36" s="145"/>
      <c r="B36" s="540"/>
      <c r="C36" s="556" t="s">
        <v>243</v>
      </c>
      <c r="D36" s="558">
        <v>2007</v>
      </c>
      <c r="E36" s="558">
        <v>7</v>
      </c>
      <c r="F36" s="1419" t="s">
        <v>248</v>
      </c>
      <c r="G36" s="1420"/>
      <c r="H36" s="1420"/>
      <c r="I36" s="1420"/>
      <c r="J36" s="1420"/>
      <c r="K36" s="1420"/>
      <c r="L36" s="1420"/>
      <c r="M36" s="1420"/>
      <c r="N36" s="1420"/>
      <c r="O36" s="1420"/>
      <c r="P36" s="1420"/>
      <c r="Q36" s="1420"/>
      <c r="R36" s="1421"/>
      <c r="S36" s="505"/>
      <c r="T36" s="157"/>
      <c r="U36" s="56"/>
      <c r="V36" s="115"/>
    </row>
    <row r="37" spans="1:22" s="104" customFormat="1" ht="137.44999999999999" customHeight="1">
      <c r="A37" s="145"/>
      <c r="B37" s="540"/>
      <c r="C37" s="556" t="s">
        <v>244</v>
      </c>
      <c r="D37" s="558">
        <v>2010</v>
      </c>
      <c r="E37" s="558">
        <v>10</v>
      </c>
      <c r="F37" s="1422" t="s">
        <v>255</v>
      </c>
      <c r="G37" s="1420"/>
      <c r="H37" s="1420"/>
      <c r="I37" s="1420"/>
      <c r="J37" s="1420"/>
      <c r="K37" s="1420"/>
      <c r="L37" s="1420"/>
      <c r="M37" s="1420"/>
      <c r="N37" s="1420"/>
      <c r="O37" s="1420"/>
      <c r="P37" s="1420"/>
      <c r="Q37" s="1420"/>
      <c r="R37" s="1421"/>
      <c r="S37" s="505"/>
      <c r="T37" s="157"/>
      <c r="U37" s="56"/>
      <c r="V37" s="115"/>
    </row>
    <row r="38" spans="1:22" s="104" customFormat="1" ht="110.45" customHeight="1" thickBot="1">
      <c r="A38" s="145"/>
      <c r="B38" s="540"/>
      <c r="C38" s="559" t="s">
        <v>245</v>
      </c>
      <c r="D38" s="560">
        <v>2014</v>
      </c>
      <c r="E38" s="560">
        <v>12</v>
      </c>
      <c r="F38" s="1415" t="s">
        <v>253</v>
      </c>
      <c r="G38" s="1413"/>
      <c r="H38" s="1413"/>
      <c r="I38" s="1413"/>
      <c r="J38" s="1413"/>
      <c r="K38" s="1413"/>
      <c r="L38" s="1413"/>
      <c r="M38" s="1413"/>
      <c r="N38" s="1413"/>
      <c r="O38" s="1413"/>
      <c r="P38" s="1413"/>
      <c r="Q38" s="1413"/>
      <c r="R38" s="1414"/>
      <c r="S38" s="505"/>
      <c r="T38" s="157"/>
      <c r="U38" s="56"/>
      <c r="V38" s="115"/>
    </row>
    <row r="39" spans="1:22" s="104" customFormat="1" ht="180.6" customHeight="1" thickBot="1">
      <c r="A39" s="145"/>
      <c r="B39" s="540"/>
      <c r="C39" s="559" t="s">
        <v>660</v>
      </c>
      <c r="D39" s="560">
        <v>2020</v>
      </c>
      <c r="E39" s="561">
        <v>11</v>
      </c>
      <c r="F39" s="1412" t="s">
        <v>1173</v>
      </c>
      <c r="G39" s="1413"/>
      <c r="H39" s="1413"/>
      <c r="I39" s="1413"/>
      <c r="J39" s="1413"/>
      <c r="K39" s="1413"/>
      <c r="L39" s="1413"/>
      <c r="M39" s="1413"/>
      <c r="N39" s="1413"/>
      <c r="O39" s="1413"/>
      <c r="P39" s="1413"/>
      <c r="Q39" s="1413"/>
      <c r="R39" s="1414"/>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vardr</cp:lastModifiedBy>
  <cp:lastPrinted>2020-12-04T20:09:27Z</cp:lastPrinted>
  <dcterms:created xsi:type="dcterms:W3CDTF">2004-11-04T17:59:53Z</dcterms:created>
  <dcterms:modified xsi:type="dcterms:W3CDTF">2021-06-09T20:13:14Z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