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veaustin\Desktop\LWSP\"/>
    </mc:Choice>
  </mc:AlternateContent>
  <xr:revisionPtr revIDLastSave="0" documentId="8_{82B5C254-2F68-4ABF-8EBF-5F43D8E7B590}" xr6:coauthVersionLast="47" xr6:coauthVersionMax="47" xr10:uidLastSave="{00000000-0000-0000-0000-000000000000}"/>
  <workbookProtection workbookAlgorithmName="SHA-512" workbookHashValue="6C+F1+FLjRoyWUz1tZo356clh+LFRDYdGqyaVcvsN4Pk1VoVnuhZx0TXA/6caufq46OJ882EPlsGMSi90mNTCw==" workbookSaltValue="FRiB7QsMq5iXo7b5T5CVJw==" workbookSpinCount="100000" lockStructure="1"/>
  <bookViews>
    <workbookView xWindow="-108" yWindow="-108" windowWidth="23256" windowHeight="12456" tabRatio="860" firstSheet="19" activeTab="19" xr2:uid="{77D000EF-6CD4-4D1C-BA4C-474C7B680D6F}"/>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Carbon Calculations" sheetId="80" r:id="rId28"/>
    <sheet name="Carbon Balance" sheetId="81" r:id="rId29"/>
    <sheet name="Loss Control Planning" sheetId="32" r:id="rId30"/>
    <sheet name="M36 Refs" sheetId="30" state="hidden" r:id="rId31"/>
    <sheet name="Definitions" sheetId="2" r:id="rId32"/>
    <sheet name="Service Connection Diagram" sheetId="42" r:id="rId33"/>
    <sheet name="Acknowledgements" sheetId="43" r:id="rId34"/>
  </sheets>
  <externalReferences>
    <externalReference r:id="rId35"/>
  </externalReferences>
  <definedNames>
    <definedName name="AOP" localSheetId="21">'Interactive Data Grading'!$B$414:$D$437</definedName>
    <definedName name="Apparent_Loss_Definition" localSheetId="31">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 localSheetId="28">INDEX([1]Sheet1!$M$122:$M$123,MATCH([1]Sheet1!$N$122,[1]Sheet1!$L$122:$L$123,0))</definedName>
    <definedName name="GremlinShow">INDEX(Sheet1!$M$122:$M$123,MATCH(Sheet1!$N$122,Sheet1!$L$122:$L$123,0))</definedName>
    <definedName name="ILI" localSheetId="31">Definitions!$D$24</definedName>
    <definedName name="input_AOP" localSheetId="28">[1]Worksheet!$H$68</definedName>
    <definedName name="input_AOP">Worksheet!$H$68</definedName>
    <definedName name="input_BMAC">Worksheet!$H$23</definedName>
    <definedName name="input_BUAC">Worksheet!$H$24</definedName>
    <definedName name="input_CMI">Worksheet!$O$41</definedName>
    <definedName name="input_CRUC" localSheetId="28">[1]Worksheet!$H$76</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 localSheetId="28">[1]Worksheet!$H$15</definedName>
    <definedName name="input_VOS">Worksheet!$H$15</definedName>
    <definedName name="input_VOSEA">Worksheet!$O$15:$R$15</definedName>
    <definedName name="input_VPC" localSheetId="28">[1]Worksheet!$H$77</definedName>
    <definedName name="input_VPC">Worksheet!$H$77</definedName>
    <definedName name="input_WE" localSheetId="28">[1]Worksheet!$H$17</definedName>
    <definedName name="input_WE">Worksheet!$H$17</definedName>
    <definedName name="input_WEEA">Worksheet!$O$17:$R$17</definedName>
    <definedName name="input_WI" localSheetId="28">[1]Worksheet!$H$16</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31">Definitions!$B$1:$N$90</definedName>
    <definedName name="_xlnm.Print_Area" localSheetId="21">'Interactive Data Grading'!$A$2:$F$471</definedName>
    <definedName name="_xlnm.Print_Area" localSheetId="29">'Loss Control Planning'!$A$1:$T$24</definedName>
    <definedName name="_xlnm.Print_Area" localSheetId="23">Notes!$A$1:$I$66</definedName>
    <definedName name="_xlnm.Print_Area" localSheetId="32">'Service Connection Diagram'!$B$2:$F$24</definedName>
    <definedName name="_xlnm.Print_Area" localSheetId="19">'Start Page'!$A$1:$BC$59</definedName>
    <definedName name="_xlnm.Print_Area" localSheetId="20">Worksheet!$B$2:$U$98</definedName>
    <definedName name="_xlnm.Print_Titles" localSheetId="31">Definitions!$4:$4</definedName>
    <definedName name="_xlnm.Print_Titles" localSheetId="23">Notes!$9:$9</definedName>
    <definedName name="Real_Losses" localSheetId="31">Definitions!$C$32:$L$32</definedName>
    <definedName name="SDHE" localSheetId="21">'Interactive Data Grading'!$B$263:$D$286</definedName>
    <definedName name="UARL" localSheetId="31">Definitions!$C$49:$L$50</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81" l="1"/>
  <c r="G16" i="81"/>
  <c r="G14" i="81"/>
  <c r="H16" i="81" l="1"/>
  <c r="H14" i="81"/>
  <c r="D8" i="80"/>
  <c r="G26" i="16" l="1"/>
  <c r="H6" i="81"/>
  <c r="F6" i="81"/>
  <c r="F5" i="81" l="1"/>
  <c r="M8" i="80"/>
  <c r="D4" i="80" l="1"/>
  <c r="C10" i="80"/>
  <c r="M9" i="80" s="1"/>
  <c r="D7" i="80"/>
  <c r="J15" i="22" l="1"/>
  <c r="J23" i="22"/>
  <c r="I120" i="56" a="1"/>
  <c r="I120" i="56" s="1"/>
  <c r="C149" i="56"/>
  <c r="I119" i="56"/>
  <c r="BW16" i="53" l="1"/>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G61"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19" i="22"/>
  <c r="J17" i="22"/>
  <c r="J16"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8" i="81" s="1"/>
  <c r="AA15" i="22"/>
  <c r="AG15" i="22" s="1"/>
  <c r="AC17" i="22"/>
  <c r="AE17" i="22" s="1"/>
  <c r="AF17" i="22" s="1"/>
  <c r="AG17" i="22"/>
  <c r="Y39" i="22"/>
  <c r="AC15" i="22"/>
  <c r="AE15" i="22" s="1"/>
  <c r="AF15" i="22" s="1"/>
  <c r="G4" i="32"/>
  <c r="F5" i="16"/>
  <c r="D4" i="22"/>
  <c r="D10" i="81" l="1"/>
  <c r="B17" i="16"/>
  <c r="B17" i="81"/>
  <c r="D10" i="16"/>
  <c r="B27" i="16"/>
  <c r="AF18" i="22"/>
  <c r="H19" i="22" s="1"/>
  <c r="K5" i="22"/>
  <c r="K19" i="22" l="1"/>
  <c r="AJ3" i="53"/>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C6" i="16" l="1"/>
  <c r="D266" i="56"/>
  <c r="G290" i="56"/>
  <c r="G292" i="56"/>
  <c r="G296" i="56"/>
  <c r="G297" i="56"/>
  <c r="H219" i="56"/>
  <c r="H196" i="56"/>
  <c r="H169" i="56"/>
  <c r="H26" i="81" l="1"/>
  <c r="D21" i="81"/>
  <c r="H12" i="81"/>
  <c r="H22" i="81"/>
  <c r="C20" i="81"/>
  <c r="I10" i="81"/>
  <c r="F13" i="81"/>
  <c r="G26" i="58"/>
  <c r="G24" i="58"/>
  <c r="G23" i="58"/>
  <c r="H39" i="22"/>
  <c r="H20" i="81" s="1"/>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H43" i="22"/>
  <c r="H24" i="81" s="1"/>
  <c r="F17" i="81" l="1"/>
  <c r="H18" i="81"/>
  <c r="H46" i="22" a="1"/>
  <c r="H46" i="22" s="1"/>
  <c r="F21" i="81" s="1"/>
  <c r="I51" i="53"/>
  <c r="H468" i="56"/>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E348" i="56" s="1"/>
  <c r="H347" i="56"/>
  <c r="I347" i="56" s="1"/>
  <c r="E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67" i="56" l="1" a="1"/>
  <c r="I67" i="56" s="1"/>
  <c r="I13" i="56" a="1"/>
  <c r="I13" i="56" s="1"/>
  <c r="I349" i="56"/>
  <c r="E349" i="56" s="1"/>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G18" i="56"/>
  <c r="G19" i="56"/>
  <c r="G16" i="56"/>
  <c r="H247" i="56"/>
  <c r="D247" i="56" s="1"/>
  <c r="I122" i="56"/>
  <c r="I69"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E346" i="56"/>
  <c r="E396" i="56"/>
  <c r="E395" i="56"/>
  <c r="E397" i="56"/>
  <c r="E394" i="56"/>
  <c r="E369" i="56"/>
  <c r="E370" i="56"/>
  <c r="K369" i="56"/>
  <c r="K371" i="56"/>
  <c r="K372" i="56"/>
  <c r="K373" i="56"/>
  <c r="E373" i="56"/>
  <c r="K370" i="56"/>
  <c r="E371" i="56"/>
  <c r="E372" i="56"/>
  <c r="I422" i="56" a="1"/>
  <c r="I422" i="56" s="1"/>
  <c r="D422" i="56" s="1"/>
  <c r="E39" i="56"/>
  <c r="E42" i="56"/>
  <c r="E40" i="56"/>
  <c r="E41" i="56"/>
  <c r="G300" i="56"/>
  <c r="BD9" i="53"/>
  <c r="D150" i="56"/>
  <c r="D96" i="56"/>
  <c r="E92" i="56" s="1"/>
  <c r="BD8" i="53"/>
  <c r="A99" i="27"/>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60"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I13" i="81" s="1"/>
  <c r="G20" i="16"/>
  <c r="AE109" i="30"/>
  <c r="AL109" i="30" s="1"/>
  <c r="AN109" i="30" s="1"/>
  <c r="W79" i="22"/>
  <c r="G24" i="16"/>
  <c r="AL106" i="30"/>
  <c r="D21" i="16"/>
  <c r="AN112" i="30"/>
  <c r="AN114" i="30"/>
  <c r="AL105" i="30"/>
  <c r="AN105" i="30" s="1"/>
  <c r="AN116" i="30"/>
  <c r="AM110" i="30"/>
  <c r="AN107" i="30"/>
  <c r="C20" i="16"/>
  <c r="C4" i="80" l="1"/>
  <c r="C11" i="80" s="1"/>
  <c r="E10" i="81"/>
  <c r="AK43" i="53"/>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E15" i="81" s="1"/>
  <c r="F17" i="16"/>
  <c r="G18" i="16"/>
  <c r="AN110" i="30"/>
  <c r="AN106" i="30"/>
  <c r="C7" i="80" l="1"/>
  <c r="C8" i="80" s="1"/>
  <c r="D11" i="80" s="1"/>
  <c r="N13" i="80"/>
  <c r="H35" i="22"/>
  <c r="C48" i="22" s="1"/>
  <c r="AL102" i="30"/>
  <c r="AN102" i="30" s="1"/>
  <c r="AL99" i="30"/>
  <c r="AN99" i="30" s="1"/>
  <c r="AF103" i="30"/>
  <c r="AG103" i="30" s="1"/>
  <c r="AH103" i="30" s="1"/>
  <c r="AL103" i="30"/>
  <c r="AN103" i="30" s="1"/>
  <c r="AL101" i="30"/>
  <c r="AN101" i="30" s="1"/>
  <c r="AF98" i="30"/>
  <c r="AG98" i="30" s="1"/>
  <c r="AH98" i="30" s="1"/>
  <c r="AL98" i="30"/>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G12" i="81" l="1"/>
  <c r="F18" i="81"/>
  <c r="F22" i="81"/>
  <c r="I14" i="81"/>
  <c r="E16" i="81"/>
  <c r="G18" i="81"/>
  <c r="G20" i="81"/>
  <c r="G24" i="81"/>
  <c r="D13" i="80"/>
  <c r="G26" i="81" s="1"/>
  <c r="F14" i="81"/>
  <c r="G22" i="81"/>
  <c r="D22" i="81"/>
  <c r="S49" i="53"/>
  <c r="C21" i="81"/>
  <c r="S51" i="53"/>
  <c r="H51" i="22"/>
  <c r="F27" i="81" s="1"/>
  <c r="H57" i="22"/>
  <c r="N50" i="53"/>
  <c r="AH101" i="30"/>
  <c r="AI101" i="30" s="1"/>
  <c r="AH99" i="30"/>
  <c r="AI99" i="30" s="1"/>
  <c r="AN98" i="30"/>
  <c r="AI102" i="30"/>
  <c r="AI103" i="30"/>
  <c r="AI105" i="30"/>
  <c r="AI110" i="30"/>
  <c r="AF118" i="30"/>
  <c r="AG118" i="30"/>
  <c r="H53" i="22" l="1"/>
  <c r="E25" i="81" s="1"/>
  <c r="I50" i="53"/>
  <c r="S50" i="53" s="1"/>
  <c r="AI98" i="30"/>
  <c r="F27" i="16"/>
  <c r="F28" i="81" s="1"/>
  <c r="H19" i="16"/>
  <c r="I20" i="81" s="1"/>
  <c r="C12" i="80" l="1"/>
  <c r="I19" i="81"/>
  <c r="G29" i="16"/>
  <c r="G29" i="81" s="1"/>
  <c r="I52" i="53"/>
  <c r="S52" i="53" s="1"/>
  <c r="E25" i="16"/>
  <c r="E26" i="81" s="1"/>
  <c r="C14" i="80" l="1"/>
  <c r="D12" i="80"/>
  <c r="M12" i="80"/>
  <c r="H15" i="80"/>
  <c r="H29" i="81"/>
  <c r="N14" i="80"/>
  <c r="F23" i="22"/>
  <c r="AD104" i="30" s="1"/>
  <c r="AM104" i="30" s="1"/>
  <c r="B15" i="80" l="1"/>
  <c r="D14" i="80"/>
  <c r="AN104" i="30"/>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F7" i="81" s="1"/>
  <c r="H7" i="81" s="1"/>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3EE09E37-51EF-461A-91E6-3E94B9B9FFF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ED6156D1-4C24-465A-82FB-F95953E8D2D6}">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FD888A5E-38EC-4343-B097-680C13A8730A}">
      <text>
        <r>
          <rPr>
            <b/>
            <sz val="8"/>
            <color indexed="81"/>
            <rFont val="Tahoma"/>
            <family val="2"/>
          </rPr>
          <t>All consumption that is billed and authorized by the utility. This may include both metered and unmetered consumption.</t>
        </r>
      </text>
    </comment>
    <comment ref="I11" authorId="0" shapeId="0" xr:uid="{C9FA4D70-1EE6-4EB4-BCC6-12CADD7A7F08}">
      <text>
        <r>
          <rPr>
            <b/>
            <sz val="8"/>
            <color indexed="81"/>
            <rFont val="Tahoma"/>
            <family val="2"/>
          </rPr>
          <t>Water which provides revenue to the utility.</t>
        </r>
      </text>
    </comment>
    <comment ref="F15" authorId="0" shapeId="0" xr:uid="{923406B7-C6C3-4EA7-B22B-80E8D128E7F3}">
      <text>
        <r>
          <rPr>
            <b/>
            <sz val="8"/>
            <color indexed="81"/>
            <rFont val="Tahoma"/>
            <family val="2"/>
          </rPr>
          <t xml:space="preserve">All consumption that is unbilled, but is still authorized by the utility. </t>
        </r>
      </text>
    </comment>
    <comment ref="I15" authorId="0" shapeId="0" xr:uid="{2E0C5CC2-4885-4B01-B91D-09C8AAF853D8}">
      <text>
        <r>
          <rPr>
            <b/>
            <sz val="8"/>
            <color indexed="81"/>
            <rFont val="Tahoma"/>
            <family val="2"/>
          </rPr>
          <t>Water which does not provide any revenue to the utility.</t>
        </r>
      </text>
    </comment>
    <comment ref="E19" authorId="0" shapeId="0" xr:uid="{933AC6D8-8EDE-4FE4-80B6-9DA3805BBBB6}">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F4E09400-4BA1-4F26-8E72-94AECDA36B1A}">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F25" authorId="0" shapeId="0" xr:uid="{E6787515-01EC-4B54-826F-09B18B2EEDCA}">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<sst xmlns="http://schemas.openxmlformats.org/spreadsheetml/2006/main" count="2561" uniqueCount="1332">
  <si>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</si>
  <si>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</si>
  <si>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</si>
  <si>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</si>
  <si>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</si>
  <si>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</si>
  <si>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</si>
  <si>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</si>
  <si>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</si>
  <si>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</si>
  <si>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</si>
  <si>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</si>
  <si>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</si>
  <si>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</si>
  <si>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</si>
  <si>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</si>
  <si>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</si>
  <si>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</si>
  <si>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</si>
  <si>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</si>
  <si>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</si>
  <si>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</si>
  <si>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</si>
  <si>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</si>
  <si>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</si>
  <si>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</si>
  <si>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</si>
  <si>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</si>
  <si>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</si>
  <si>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</si>
  <si>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</si>
  <si>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</si>
  <si>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</si>
  <si>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</si>
  <si>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</si>
  <si>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</si>
  <si>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</si>
  <si>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</si>
  <si>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</si>
  <si>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</si>
  <si>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</si>
  <si>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</si>
  <si>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</si>
  <si>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</si>
  <si>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</si>
  <si>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</si>
  <si>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</si>
  <si>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</si>
  <si>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</si>
  <si>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</si>
  <si>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</si>
  <si>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</si>
  <si>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</si>
  <si>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</si>
  <si>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</si>
  <si>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</si>
  <si>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</si>
  <si>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</si>
  <si>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</si>
  <si>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</si>
  <si>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</si>
  <si>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</si>
  <si>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</si>
  <si>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</si>
  <si>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</si>
  <si>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</si>
  <si>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</si>
  <si>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</si>
  <si>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</si>
  <si>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</si>
  <si>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</si>
  <si>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</si>
  <si>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</si>
  <si>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</si>
  <si>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</si>
  <si>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</si>
  <si>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</si>
  <si>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</si>
  <si>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</si>
  <si>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</si>
  <si>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</si>
  <si>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</si>
  <si>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</si>
  <si>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</si>
  <si>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</si>
  <si>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</si>
  <si>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</si>
  <si>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</si>
  <si>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</si>
  <si>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</si>
  <si>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</si>
  <si>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</si>
  <si>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</si>
  <si>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</si>
  <si>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</si>
  <si>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</si>
  <si>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</si>
  <si>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</si>
  <si>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</si>
  <si>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</si>
  <si>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</si>
  <si>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</si>
  <si>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</si>
  <si>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</si>
  <si>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</si>
  <si>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</si>
  <si>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</si>
  <si>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</si>
  <si>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</si>
  <si>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</si>
  <si>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</si>
  <si>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</si>
  <si>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</si>
  <si>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</si>
  <si>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</si>
  <si>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</si>
  <si>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</si>
  <si>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</si>
  <si>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</si>
  <si>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</si>
  <si>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</si>
  <si>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</si>
  <si>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</si>
  <si>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</si>
  <si>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</si>
  <si>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</si>
  <si>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</si>
  <si>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</si>
  <si>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</si>
  <si>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</si>
  <si>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</si>
  <si>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</si>
  <si>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</si>
  <si>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</si>
  <si>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</si>
  <si>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</si>
  <si>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</si>
  <si>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</si>
  <si>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</si>
  <si>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</si>
  <si>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</si>
  <si>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</si>
  <si>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</si>
  <si>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</si>
  <si>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</si>
  <si>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</si>
  <si>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</si>
  <si>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</si>
  <si>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</si>
  <si>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</si>
  <si>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</si>
  <si>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</si>
  <si>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</si>
  <si>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</si>
  <si>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</si>
  <si>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</si>
  <si>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</si>
  <si>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</si>
  <si>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</si>
  <si>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</si>
  <si>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</si>
  <si>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</si>
  <si>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</si>
  <si>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</si>
  <si>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</si>
  <si>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</si>
  <si>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</si>
  <si>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</si>
  <si>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</si>
  <si>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</si>
  <si>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</si>
  <si>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</si>
  <si>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</si>
  <si>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</si>
  <si>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</si>
  <si>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</si>
  <si>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</si>
  <si>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</si>
  <si>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</si>
  <si>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</si>
  <si>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</si>
  <si>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</si>
  <si>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</si>
  <si>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</si>
  <si>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</si>
  <si>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</si>
  <si>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</si>
  <si>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</si>
  <si>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</si>
  <si>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</si>
  <si>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</si>
  <si>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</si>
  <si>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</si>
  <si>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</si>
  <si>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</si>
  <si>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</si>
  <si>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</si>
  <si>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</si>
  <si>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</si>
  <si>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</si>
  <si>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</si>
  <si>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</si>
  <si>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</si>
  <si>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</si>
  <si>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</si>
  <si>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</si>
  <si>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</si>
  <si>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</si>
  <si>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</si>
  <si>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</si>
  <si>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</si>
  <si>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</si>
  <si>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</si>
  <si>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</si>
  <si>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</si>
  <si>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</si>
  <si>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</si>
  <si>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</si>
  <si>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</si>
  <si>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</si>
  <si>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</si>
  <si>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</si>
  <si>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</si>
  <si>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</si>
  <si>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</si>
  <si>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</si>
  <si>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</si>
  <si>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</si>
  <si>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</si>
  <si>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</si>
  <si>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</si>
  <si>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</si>
  <si>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</si>
  <si>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</si>
  <si>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</si>
  <si>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</si>
  <si>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</si>
  <si>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</si>
  <si>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</si>
  <si>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</si>
  <si>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</si>
  <si>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</si>
  <si>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</si>
  <si>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</si>
  <si>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</si>
  <si>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</si>
  <si>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</si>
  <si>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</si>
  <si>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</si>
  <si>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</si>
  <si>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</si>
  <si>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</si>
  <si>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</si>
  <si>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</si>
  <si>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</si>
  <si>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</si>
  <si>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</si>
  <si>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</si>
  <si>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</si>
  <si>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</si>
  <si>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</si>
  <si>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</si>
  <si>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</si>
  <si>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</si>
  <si>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</si>
  <si>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</si>
  <si>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</si>
  <si>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</si>
  <si>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</si>
  <si>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</si>
  <si>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</si>
  <si>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</si>
  <si>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</si>
  <si>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</si>
  <si>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</si>
  <si>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</si>
  <si>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</si>
  <si>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</si>
  <si>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</si>
  <si>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</si>
  <si>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</si>
  <si>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</si>
  <si>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</si>
  <si>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</si>
  <si>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</si>
  <si>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</si>
  <si>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</si>
  <si>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</si>
  <si>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</si>
  <si>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</si>
  <si>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</si>
  <si>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</si>
  <si>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</si>
  <si>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</si>
  <si>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</si>
  <si>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</si>
  <si>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</si>
  <si>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</si>
  <si>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</si>
  <si>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</si>
  <si>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</si>
  <si>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</si>
  <si>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</si>
  <si>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</si>
  <si>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</si>
  <si>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</si>
  <si>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</si>
  <si>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</si>
  <si>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</si>
  <si>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</si>
  <si>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</si>
  <si>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</si>
  <si>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</si>
  <si>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</si>
  <si>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</si>
  <si>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</si>
  <si>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</si>
  <si>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</si>
  <si>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</si>
  <si>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</si>
  <si>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</si>
  <si>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</si>
  <si>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</si>
  <si>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</si>
  <si>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</si>
  <si>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</si>
  <si>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</si>
  <si>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</si>
  <si>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</si>
  <si>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</si>
  <si>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</si>
  <si>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</si>
  <si>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</si>
  <si>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</si>
  <si>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</si>
  <si>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</si>
  <si>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</si>
  <si>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</si>
  <si>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</si>
  <si>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</si>
  <si>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</si>
  <si>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</si>
  <si>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</si>
  <si>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</si>
  <si>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</si>
  <si>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</si>
  <si>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</si>
  <si>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</si>
  <si>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</si>
  <si>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</si>
  <si>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</si>
  <si>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</si>
  <si>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</si>
  <si>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</si>
  <si>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</si>
  <si>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</si>
  <si>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</si>
  <si>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</si>
  <si>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</si>
  <si>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</si>
  <si>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</si>
  <si>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</si>
  <si>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</si>
  <si>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</si>
  <si>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</si>
  <si>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</si>
  <si>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</si>
  <si>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</si>
  <si>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</si>
  <si>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</si>
  <si>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</si>
  <si>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</si>
  <si>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</si>
  <si>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</si>
  <si>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</si>
  <si>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</si>
  <si>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</si>
  <si>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</si>
  <si>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</si>
  <si>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</si>
  <si>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</si>
  <si>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</si>
  <si>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</si>
  <si>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</si>
  <si>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</si>
  <si>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</si>
  <si>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</si>
  <si>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</si>
  <si>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</si>
  <si>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</si>
  <si>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</si>
  <si>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</si>
  <si>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</si>
  <si>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</si>
  <si>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</si>
  <si>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</si>
  <si>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</si>
  <si>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</si>
  <si>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</si>
  <si>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</si>
  <si>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</si>
  <si>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</si>
  <si>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</si>
  <si>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</si>
  <si>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</si>
  <si>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</si>
  <si>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</si>
  <si>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</si>
  <si>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</si>
  <si>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</si>
  <si>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</si>
  <si>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</si>
  <si>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</si>
  <si>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</si>
  <si>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</si>
  <si>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</si>
  <si>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</si>
  <si>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</si>
  <si>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</si>
  <si>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</si>
  <si>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</si>
  <si>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</si>
  <si>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</si>
  <si>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</si>
  <si>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</si>
  <si>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</si>
  <si>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</si>
  <si>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</si>
  <si>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</si>
  <si>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</si>
  <si>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</si>
  <si>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</si>
  <si>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</si>
  <si>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</si>
  <si>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</si>
  <si>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</si>
  <si>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</si>
  <si>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</si>
  <si>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</si>
  <si>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</si>
  <si>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</si>
  <si>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</si>
  <si>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</si>
  <si>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</si>
  <si>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</si>
  <si>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</si>
  <si>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</si>
  <si>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</si>
  <si>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</si>
  <si>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</si>
  <si>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</si>
  <si>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</si>
  <si>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</si>
  <si>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</si>
  <si>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</si>
  <si>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</si>
  <si>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</si>
  <si>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</si>
  <si>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</si>
  <si>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</si>
  <si>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</si>
  <si>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</si>
  <si>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</si>
  <si>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</si>
  <si>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</si>
  <si>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</si>
  <si>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</si>
  <si>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</si>
  <si>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</si>
  <si>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</si>
  <si>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</si>
  <si>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</si>
  <si>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</si>
  <si>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</si>
  <si>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</si>
  <si>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</si>
  <si>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</si>
  <si>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</si>
  <si>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</si>
  <si>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</si>
  <si>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</si>
  <si>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</si>
  <si>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</si>
  <si>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</si>
  <si>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</si>
  <si>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</si>
  <si>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</si>
  <si>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</si>
  <si>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</si>
  <si>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</si>
  <si>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</si>
  <si>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</si>
  <si>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</si>
  <si>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</si>
  <si>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</si>
  <si>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</si>
  <si>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</si>
  <si>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</si>
  <si>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</si>
  <si>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</si>
  <si>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</si>
  <si>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</si>
  <si>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</si>
  <si>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</si>
  <si>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</si>
  <si>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</si>
  <si>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</si>
  <si>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</si>
  <si>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</si>
  <si>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</si>
  <si>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</si>
  <si>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</si>
  <si>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</si>
  <si>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</si>
  <si>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</si>
  <si>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</si>
  <si>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</si>
  <si>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</si>
  <si>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</si>
  <si>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</si>
  <si>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</si>
  <si>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</si>
  <si>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</si>
  <si>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</si>
  <si>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</si>
  <si>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</si>
  <si>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</si>
  <si>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</si>
  <si>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</si>
  <si>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</si>
  <si>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</si>
  <si>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</si>
  <si>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</si>
  <si>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</si>
  <si>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</si>
  <si>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</si>
  <si>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</si>
  <si>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</si>
  <si>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</si>
  <si>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</si>
  <si>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</si>
  <si>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</si>
  <si>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</si>
  <si>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</si>
  <si>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</si>
  <si>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</si>
  <si>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</si>
  <si>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</si>
  <si>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</si>
  <si>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</si>
  <si>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</si>
  <si>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</si>
  <si>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</si>
  <si>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</si>
  <si>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</si>
  <si>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</si>
  <si>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</si>
  <si>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</si>
  <si>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</si>
  <si>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</si>
  <si>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</si>
  <si>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</si>
  <si>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</si>
  <si>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</si>
  <si>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</si>
  <si>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</si>
  <si>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</si>
  <si>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</si>
  <si>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</si>
  <si>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</si>
  <si>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</si>
  <si>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</si>
  <si>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</si>
  <si>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</si>
  <si>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</si>
  <si>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</si>
  <si>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</si>
  <si>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</si>
  <si>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</si>
  <si>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</si>
  <si>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</si>
  <si>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</si>
  <si>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</si>
  <si>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</si>
  <si>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</si>
  <si>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</si>
  <si>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</si>
  <si>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</si>
  <si>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</si>
  <si>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</si>
  <si>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</si>
  <si>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</si>
  <si>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</si>
  <si>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</si>
  <si>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</si>
  <si>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</si>
  <si>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</si>
  <si>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</si>
  <si>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</si>
  <si>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</si>
  <si>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</si>
  <si>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</si>
  <si>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</si>
  <si>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</si>
  <si>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</si>
  <si>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</si>
  <si>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</si>
  <si>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</si>
  <si>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</si>
  <si>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</si>
  <si>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</si>
  <si>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</si>
  <si>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</si>
  <si>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</si>
  <si>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</si>
  <si>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</si>
  <si>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</si>
  <si>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</si>
  <si>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</si>
  <si>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</si>
  <si>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</si>
  <si>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</si>
  <si>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</si>
  <si>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</si>
  <si>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</si>
  <si>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</si>
  <si>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</si>
  <si>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</si>
  <si>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</si>
  <si>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</si>
  <si>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</si>
  <si>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</si>
  <si>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</si>
  <si>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</si>
  <si>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</si>
  <si>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</si>
  <si>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</si>
  <si>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</si>
  <si>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</si>
  <si>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</si>
  <si>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</si>
  <si>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</si>
  <si>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</si>
  <si>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</si>
  <si>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</si>
  <si>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</si>
  <si>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</si>
  <si>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</si>
  <si>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</si>
  <si>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</si>
  <si>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</si>
  <si>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</si>
  <si>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</si>
  <si>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</si>
  <si>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</si>
  <si>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</si>
  <si>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</si>
  <si>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</si>
  <si>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</si>
  <si>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</si>
  <si>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</si>
  <si>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</si>
  <si>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</si>
  <si>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</si>
  <si>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</si>
  <si>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</si>
  <si>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</si>
  <si>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</si>
  <si>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</si>
  <si>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</si>
  <si>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</si>
  <si>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</si>
  <si>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</si>
  <si>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</si>
  <si>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</si>
  <si>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</si>
  <si>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</si>
  <si>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</si>
  <si>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</si>
  <si>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</si>
  <si>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</si>
  <si>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</si>
  <si>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</si>
  <si>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</si>
  <si>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</si>
  <si>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</si>
  <si>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</si>
  <si>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</si>
  <si>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</si>
  <si>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</si>
  <si>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</si>
  <si>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</si>
  <si>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</si>
  <si>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</si>
  <si>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</si>
  <si>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</si>
  <si>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</si>
  <si>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</si>
  <si>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</si>
  <si>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</si>
  <si>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</si>
  <si>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</si>
  <si>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</si>
  <si>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</si>
  <si>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</si>
  <si>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</si>
  <si>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</si>
  <si>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</si>
  <si>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</si>
  <si>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</si>
  <si>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</si>
  <si>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</si>
  <si>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</si>
  <si>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</si>
  <si>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</si>
  <si>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</si>
  <si>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</si>
  <si>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</si>
  <si>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</si>
  <si>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</si>
  <si>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</si>
  <si>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</si>
  <si>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</si>
  <si>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</si>
  <si>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</si>
  <si>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</si>
  <si>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</si>
  <si>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</si>
  <si>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</si>
  <si>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</si>
  <si>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</si>
  <si>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</si>
  <si>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</si>
  <si>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</si>
  <si>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</si>
  <si>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</si>
  <si>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</si>
  <si>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</si>
  <si>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</si>
  <si>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</si>
  <si>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</si>
  <si>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</si>
  <si>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</si>
  <si>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</si>
  <si>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</si>
  <si>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</si>
  <si>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</si>
  <si>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</si>
  <si>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</si>
  <si>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</si>
  <si>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</si>
  <si>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</si>
  <si>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</si>
  <si>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</si>
  <si>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</si>
  <si>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</si>
  <si>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</si>
  <si>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</si>
  <si>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</si>
  <si>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</si>
  <si>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</si>
  <si>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</si>
  <si>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</si>
  <si>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</si>
  <si>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</si>
  <si>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</si>
  <si>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</si>
  <si>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</si>
  <si>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</si>
  <si>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</si>
  <si>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</si>
  <si>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</si>
  <si>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</si>
  <si>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</si>
  <si>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</si>
  <si>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</si>
  <si>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</si>
  <si>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</si>
  <si>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</si>
  <si>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</si>
  <si>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</si>
  <si>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</si>
  <si>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</si>
  <si>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</si>
  <si>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</si>
  <si>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</si>
  <si>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</si>
  <si>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</si>
  <si>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</si>
  <si>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</si>
  <si>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</si>
  <si>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</si>
  <si>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</si>
  <si>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</si>
  <si>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</si>
  <si>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</si>
  <si>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</si>
  <si>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</si>
  <si>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</si>
  <si>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</si>
  <si>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</si>
  <si>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</si>
  <si>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</si>
  <si>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</si>
  <si>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</si>
  <si>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</si>
  <si>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</si>
  <si>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</si>
  <si>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</si>
  <si>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</si>
  <si>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</si>
  <si>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</si>
  <si>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</si>
  <si>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</si>
  <si>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</si>
  <si>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</si>
  <si>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</si>
  <si>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</si>
  <si>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</si>
  <si>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</si>
  <si>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</si>
  <si>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</si>
  <si>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</si>
  <si>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</si>
  <si>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</si>
  <si>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</si>
  <si>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</si>
  <si>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</si>
  <si>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</si>
  <si>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</si>
  <si>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</si>
  <si>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</si>
  <si>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</si>
  <si>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</si>
  <si>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</si>
  <si>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</si>
  <si>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</si>
  <si>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</si>
  <si>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</si>
  <si>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</si>
  <si>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</si>
  <si>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</si>
  <si>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</si>
  <si>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</si>
  <si>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</si>
  <si>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</si>
  <si>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</si>
  <si>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</si>
  <si>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</si>
  <si>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</si>
  <si>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</si>
  <si>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</si>
  <si>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</si>
  <si>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</si>
  <si>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</si>
  <si>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</si>
  <si>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</si>
  <si>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</si>
  <si>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</si>
  <si>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</si>
  <si>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</si>
  <si>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</si>
  <si>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</si>
  <si>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</si>
  <si>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</si>
  <si>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</si>
  <si>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</si>
  <si>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</si>
  <si>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</si>
  <si>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</si>
  <si>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</si>
  <si>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</si>
  <si>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</si>
  <si>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</si>
  <si>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</si>
  <si>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</si>
  <si>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</si>
  <si>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</si>
  <si>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</si>
  <si>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</si>
  <si>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</si>
  <si>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</si>
  <si>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</si>
  <si>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</si>
  <si>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</si>
  <si>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</si>
  <si>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</si>
  <si>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</si>
  <si>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</si>
  <si>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</si>
  <si>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</si>
  <si>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</si>
  <si>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</si>
  <si>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</si>
  <si>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</si>
  <si>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</si>
  <si>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</si>
  <si>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</si>
  <si>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</si>
  <si>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</si>
  <si>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</si>
  <si>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</si>
  <si>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</si>
  <si>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</si>
  <si>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</si>
  <si>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</si>
  <si>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</si>
  <si>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</si>
  <si>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</si>
  <si>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</si>
  <si>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</si>
  <si>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</si>
  <si>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</si>
  <si>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</si>
  <si>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</si>
  <si>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</si>
  <si>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</si>
  <si>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</si>
  <si>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</si>
  <si>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</si>
  <si>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</si>
  <si>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</si>
  <si>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</si>
  <si>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</si>
  <si>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</si>
  <si>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</si>
  <si>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</si>
  <si>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</si>
  <si>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</si>
  <si>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</si>
  <si>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</si>
  <si>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</si>
  <si>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</si>
  <si>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</si>
  <si>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</si>
  <si>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</si>
  <si>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</si>
  <si>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</si>
  <si>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</si>
  <si>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</si>
  <si>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</si>
  <si>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</si>
  <si>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</si>
  <si>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</si>
  <si>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</si>
  <si>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</si>
  <si>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 xml:space="preserve">Other State/Province: </t>
  </si>
  <si>
    <t>Other (enter custom value below)</t>
  </si>
  <si>
    <t>Unit 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</si>
  <si>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</si>
  <si>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</si>
  <si>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</si>
  <si>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</si>
  <si>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</si>
  <si>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</si>
  <si>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</si>
  <si>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</si>
  <si>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</si>
  <si>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</si>
  <si>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</si>
  <si>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</si>
  <si>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</si>
  <si>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</si>
  <si>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</si>
  <si>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</si>
  <si>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</si>
  <si>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</si>
  <si>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</si>
  <si>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</si>
  <si>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</si>
  <si>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</si>
  <si>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</si>
  <si>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</si>
  <si>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</si>
  <si>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</si>
  <si>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</si>
  <si>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</si>
  <si>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</si>
  <si>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</si>
  <si>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</si>
  <si>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</si>
  <si>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</si>
  <si>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</si>
  <si>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</si>
  <si>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</si>
  <si>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</si>
  <si>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</si>
  <si>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</si>
  <si>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</si>
  <si>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</si>
  <si>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</si>
  <si>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</si>
  <si>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</si>
  <si>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</si>
  <si>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</si>
  <si>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</si>
  <si>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</si>
  <si>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</si>
  <si>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</si>
  <si>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</si>
  <si>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</si>
  <si>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</si>
  <si>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</si>
  <si>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</si>
  <si>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</si>
  <si>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</si>
  <si>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</si>
  <si>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</si>
  <si>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</si>
  <si>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</si>
  <si>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</si>
  <si>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</si>
  <si>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</si>
  <si>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</si>
  <si>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</si>
  <si>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</si>
  <si>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</si>
  <si>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</si>
  <si>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</si>
  <si>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</si>
  <si>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</si>
  <si>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</si>
  <si>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</si>
  <si>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</si>
  <si>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</si>
  <si>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</si>
  <si>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</si>
  <si>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</si>
  <si>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</si>
  <si>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</si>
  <si>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</si>
  <si>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</si>
  <si>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</si>
  <si>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</si>
  <si>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</si>
  <si>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</si>
  <si>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</si>
  <si>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</si>
  <si>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</si>
  <si>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</si>
  <si>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</si>
  <si>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</si>
  <si>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</si>
  <si>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</si>
  <si>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</si>
  <si>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</si>
  <si>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</si>
  <si>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</si>
  <si>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</si>
  <si>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</si>
  <si>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</si>
  <si>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</si>
  <si>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</si>
  <si>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</si>
  <si>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</si>
  <si>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</si>
  <si>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</si>
  <si>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</si>
  <si>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</si>
  <si>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</si>
  <si>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</si>
  <si>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</si>
  <si>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</si>
  <si>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</si>
  <si>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</si>
  <si>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</si>
  <si>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</si>
  <si>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</si>
  <si>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</si>
  <si>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</si>
  <si>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</si>
  <si>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</si>
  <si>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</si>
  <si>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</si>
  <si>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</si>
  <si>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</si>
  <si>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</si>
  <si>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</si>
  <si>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</si>
  <si>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</si>
  <si>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</si>
  <si>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</si>
  <si>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</si>
  <si>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</si>
  <si>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</si>
  <si>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</si>
  <si>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</si>
  <si>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</si>
  <si>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</si>
  <si>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</si>
  <si>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</si>
  <si>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</si>
  <si>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</si>
  <si>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</si>
  <si>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</si>
  <si>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</si>
  <si>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</si>
  <si>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</si>
  <si>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</si>
  <si>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</si>
  <si>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</si>
  <si>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</si>
  <si>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</si>
  <si>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</si>
  <si>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</si>
  <si>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</si>
  <si>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</si>
  <si>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</si>
  <si>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</si>
  <si>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</si>
  <si>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</si>
  <si>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</si>
  <si>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</si>
  <si>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</si>
  <si>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</si>
  <si>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</si>
  <si>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</si>
  <si>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</si>
  <si>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</si>
  <si>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</si>
  <si>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</si>
  <si>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</si>
  <si>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</si>
  <si>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</si>
  <si>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</si>
  <si>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</si>
  <si>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</si>
  <si>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</si>
  <si>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</si>
  <si>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</si>
  <si>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</si>
  <si>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</si>
  <si>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</si>
  <si>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</si>
  <si>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</si>
  <si>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</si>
  <si>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</si>
  <si>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</si>
  <si>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</si>
  <si>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</si>
  <si>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</si>
  <si>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</si>
  <si>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</si>
  <si>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</si>
  <si>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</si>
  <si>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</si>
  <si>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</si>
  <si>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</si>
  <si>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</si>
  <si>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</si>
  <si>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</si>
  <si>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</si>
  <si>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</si>
  <si>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</si>
  <si>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</si>
  <si>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</si>
  <si>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</si>
  <si>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</si>
  <si>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</si>
  <si>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</si>
  <si>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</si>
  <si>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</si>
  <si>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</si>
  <si>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</si>
  <si>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</si>
  <si>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</si>
  <si>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</si>
  <si>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</si>
  <si>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</si>
  <si>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</si>
  <si>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</si>
  <si>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</si>
  <si>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</si>
  <si>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</si>
  <si>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</si>
  <si>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</si>
  <si>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</si>
  <si>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</si>
  <si>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</si>
  <si>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</si>
  <si>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r>
      <t xml:space="preserve"> AWWA Free Water Audit Software:
</t>
    </r>
    <r>
      <rPr>
        <b/>
        <sz val="14"/>
        <color rgb="FFFFFFFF"/>
        <rFont val="Arial"/>
        <family val="2"/>
      </rPr>
      <t xml:space="preserve"> Worksheet</t>
    </r>
  </si>
  <si>
    <t>Unit Real LossesA</t>
  </si>
  <si>
    <t>Unit Real LossesB</t>
  </si>
  <si>
    <t>If entered above by user, targets will display on KPI gauges (see Dashboard)</t>
  </si>
  <si>
    <t xml:space="preserve"> WATER AUDIT DATA VALIDITY TIER:</t>
  </si>
  <si>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</si>
  <si>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</si>
  <si>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</si>
  <si>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</si>
  <si>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</si>
  <si>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</si>
  <si>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</si>
  <si>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</si>
  <si>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</si>
  <si>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</si>
  <si>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</si>
  <si>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</si>
  <si>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</si>
  <si>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</si>
  <si>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</si>
  <si>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</si>
  <si>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</si>
  <si>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</si>
  <si>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</si>
  <si>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</si>
  <si>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</si>
  <si>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</si>
  <si>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</si>
  <si>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</si>
  <si>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</si>
  <si>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</si>
  <si>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</si>
  <si>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</si>
  <si>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</si>
  <si>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</si>
  <si>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</si>
  <si>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</si>
  <si>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</si>
  <si>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</si>
  <si>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</si>
  <si>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</si>
  <si>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</si>
  <si>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</si>
  <si>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</si>
  <si>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</si>
  <si>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</si>
  <si>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</si>
  <si>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</si>
  <si>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</si>
  <si>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</si>
  <si>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</si>
  <si>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</si>
  <si>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</si>
  <si>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</si>
  <si>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</si>
  <si>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</si>
  <si>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</si>
  <si>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</si>
  <si>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</si>
  <si>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</si>
  <si>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</si>
  <si>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</si>
  <si>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</si>
  <si>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</si>
  <si>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</si>
  <si>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</si>
  <si>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</si>
  <si>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</si>
  <si>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</si>
  <si>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</si>
  <si>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</si>
  <si>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</si>
  <si>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</si>
  <si>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</si>
  <si>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</si>
  <si>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Calculation Notes</t>
  </si>
  <si>
    <t>Reference Carbon Intensity</t>
  </si>
  <si>
    <t>g/kWh</t>
  </si>
  <si>
    <t>Utility Energy Usage</t>
  </si>
  <si>
    <t>Utility Energy Intensity</t>
  </si>
  <si>
    <t>Utility Carbon Intensity</t>
  </si>
  <si>
    <t>Target Leakage Reduction</t>
  </si>
  <si>
    <t>Carbon Balance</t>
  </si>
  <si>
    <t>User Provided:  From Utility Energy Bill(s)</t>
  </si>
  <si>
    <t>Calculated:  From Water Balance</t>
  </si>
  <si>
    <t>Click here to calculate carbon emissions ---&gt;</t>
  </si>
  <si>
    <t>carbon</t>
  </si>
  <si>
    <t>Target Leakage &amp; Carbon Reduction</t>
  </si>
  <si>
    <t>Leakage Level After Reduction</t>
  </si>
  <si>
    <t>Carbon Intensity Calculation</t>
  </si>
  <si>
    <t>Carbon Reduction Calculation</t>
  </si>
  <si>
    <t>User Provided:  Manual input, typically based on a Real Loss Component Analysis</t>
  </si>
  <si>
    <t>Current Leakage Level</t>
  </si>
  <si>
    <t>Acre-ft/Yr</t>
  </si>
  <si>
    <t>Acre-ft</t>
  </si>
  <si>
    <t>ML</t>
  </si>
  <si>
    <t>MG</t>
  </si>
  <si>
    <t>Units for CC1</t>
  </si>
  <si>
    <t>Units for CC2</t>
  </si>
  <si>
    <t>Calculated:  Current Leakage Level minus Target Leakage Reduction</t>
  </si>
  <si>
    <t>Current</t>
  </si>
  <si>
    <t>Reduction</t>
  </si>
  <si>
    <t>USD</t>
  </si>
  <si>
    <t>Local =</t>
  </si>
  <si>
    <t>Currency Conversion</t>
  </si>
  <si>
    <t>VOLUME in</t>
  </si>
  <si>
    <t>CARBON in</t>
  </si>
  <si>
    <t>Carbon</t>
  </si>
  <si>
    <t>Emissions</t>
  </si>
  <si>
    <t>Carbon Reduction Visualization</t>
  </si>
  <si>
    <r>
      <rPr>
        <b/>
        <sz val="14"/>
        <rFont val="Arial"/>
        <family val="2"/>
      </rPr>
      <t xml:space="preserve">AWWA Free Water Audit Software - Version 6.1 </t>
    </r>
    <r>
      <rPr>
        <sz val="14"/>
        <rFont val="Arial"/>
        <family val="2"/>
      </rPr>
      <t xml:space="preserve">
developed by the 
Water Loss Control Committee of the American Water Works Association
June 2025</t>
    </r>
  </si>
  <si>
    <t>E Source</t>
  </si>
  <si>
    <t>metric tons (mt)</t>
  </si>
  <si>
    <t>mt/yr</t>
  </si>
  <si>
    <t>mt = metric tons</t>
  </si>
  <si>
    <t>go to carbon calculations</t>
  </si>
  <si>
    <t>Importing or Exporting Utility only</t>
  </si>
  <si>
    <t>Not applicable due to no electronic signal output</t>
  </si>
  <si>
    <r>
      <t xml:space="preserve">
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</si>
  <si>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AWWA Free Water Audit Software v6.1</t>
  </si>
  <si>
    <t>Carbon Calculations</t>
  </si>
  <si>
    <r>
      <t xml:space="preserve">Need Help? Click </t>
    </r>
    <r>
      <rPr>
        <i/>
        <sz val="10"/>
        <color rgb="FF0000FF"/>
        <rFont val="Arial"/>
        <family val="2"/>
      </rPr>
      <t>Item Name</t>
    </r>
    <r>
      <rPr>
        <i/>
        <sz val="10"/>
        <rFont val="Arial"/>
        <family val="2"/>
      </rPr>
      <t xml:space="preserve"> below for Definitions &amp; Guidance</t>
    </r>
  </si>
  <si>
    <t>https://app.electricitymaps.com</t>
  </si>
  <si>
    <t xml:space="preserve">This is a user-provided input.  It is the measure of CO2 equivalent (grams CO2e), including carbon dioxide and other greenhouse gases, emitted per unit of energy produced in kWh.  This will vary based and the composition of a water utility’s sources of electricity (fossil-derived sources vs renewable sources).  If a water utility does not have this specific information from its power provider(s), this number can be estimated from freely available sources such as:  </t>
  </si>
  <si>
    <r>
      <t xml:space="preserve">This is a user-provided input.  It is the total energy in kWh used by the water utility during the water audit year to obtain, produce and distribute drinking water.  This number can typically be determined from a water utility’s energy bills for the audit year.  Energy usage that does not vary with production and distribution of drinking water, such as “overhead” usage (building HVAC, lighting, etc.) should not be included in the </t>
    </r>
    <r>
      <rPr>
        <b/>
        <sz val="10"/>
        <rFont val="Arial"/>
        <family val="2"/>
      </rPr>
      <t>Utility Energy Usage</t>
    </r>
    <r>
      <rPr>
        <sz val="10"/>
        <rFont val="Arial"/>
        <family val="2"/>
      </rPr>
      <t xml:space="preserve"> total.  If the water utility’s energy bills do not separate out such “overhead” usage, the user may make reasonable assumptions for what portion of total energy was used to obtain, produce and distribute drinking water.  
</t>
    </r>
    <r>
      <rPr>
        <b/>
        <u/>
        <sz val="10"/>
        <rFont val="Arial"/>
        <family val="2"/>
      </rPr>
      <t>For water utilities that import water</t>
    </r>
    <r>
      <rPr>
        <b/>
        <sz val="10"/>
        <rFont val="Arial"/>
        <family val="2"/>
      </rPr>
      <t xml:space="preserve">: </t>
    </r>
    <r>
      <rPr>
        <sz val="10"/>
        <rFont val="Arial"/>
        <family val="2"/>
      </rPr>
      <t xml:space="preserve"> energy usage of the exporting water utility should not be included in the </t>
    </r>
    <r>
      <rPr>
        <b/>
        <sz val="10"/>
        <rFont val="Arial"/>
        <family val="2"/>
      </rPr>
      <t>Utility Energy Usage</t>
    </r>
    <r>
      <rPr>
        <sz val="10"/>
        <rFont val="Arial"/>
        <family val="2"/>
      </rPr>
      <t xml:space="preserve"> total.  It is recommended to encourage the exporting water utility to complete its own Water and Carbon Balance using the AWWA Free Water Audit Software v6.1.  </t>
    </r>
  </si>
  <si>
    <r>
      <t xml:space="preserve">This is a calculated value and is specific to the water utility.  It represents the rate of energy in kWh used by the water utility per unit of drinking water obtained, produced and distributed.  It is calculated as </t>
    </r>
    <r>
      <rPr>
        <b/>
        <sz val="10"/>
        <rFont val="Arial"/>
        <family val="2"/>
      </rPr>
      <t>Utility Energy Usage</t>
    </r>
    <r>
      <rPr>
        <sz val="10"/>
        <rFont val="Arial"/>
        <family val="2"/>
      </rPr>
      <t xml:space="preserve"> (kWh) divided by </t>
    </r>
    <r>
      <rPr>
        <b/>
        <sz val="10"/>
        <rFont val="Arial"/>
        <family val="2"/>
      </rPr>
      <t>System Input Volume</t>
    </r>
    <r>
      <rPr>
        <sz val="10"/>
        <rFont val="Arial"/>
        <family val="2"/>
      </rPr>
      <t xml:space="preserve"> (volume), resulting in units of kWh/volume.</t>
    </r>
  </si>
  <si>
    <t>This is a calculated value and is specific to the water utility.  It represents the rate of CO2 equivalent (grams CO2e), including carbon dioxide and other greenhouse gases, emitted per unit of drinking water obtained, produced and distributed.  It is calculated as Reference Carbon Intensity (grams CO2e/kWh) times Utility Energy Intensity (kWh/volume), with grams being converted to metric tons (mt), resulting in units of mt/volume.  
Unit conversion:  1,000,000 grams = 1 metric ton (mt)</t>
  </si>
  <si>
    <r>
      <t xml:space="preserve">This is a user-provided volume.  It represents the volume of leakage targeted for reduction through real loss control activities.  AWWA-recommended practice is to perform a Leakage Component Analysis (LCA) following the top-down water audit, using the freely available WRF Leakage Component Analysis Model (https://www.waterrf.org/resource/leakage-component-analysis-model).   The </t>
    </r>
    <r>
      <rPr>
        <b/>
        <sz val="10"/>
        <rFont val="Arial"/>
        <family val="2"/>
      </rPr>
      <t>Target Leakage Reduction</t>
    </r>
    <r>
      <rPr>
        <sz val="10"/>
        <rFont val="Arial"/>
        <family val="2"/>
      </rPr>
      <t xml:space="preserve"> is typically determined as part of the LCA.  Further guidance on this and related analyses may be found in the AWWA M36 Manual, 5th Edition (2025).  </t>
    </r>
  </si>
  <si>
    <t xml:space="preserve">
Real Losses</t>
  </si>
  <si>
    <r>
      <rPr>
        <u/>
        <sz val="10"/>
        <color rgb="FF0000FF"/>
        <rFont val="Arial"/>
        <family val="2"/>
      </rPr>
      <t>(UARL)</t>
    </r>
    <r>
      <rPr>
        <sz val="10"/>
        <color indexed="12"/>
        <rFont val="Arial"/>
        <family val="2"/>
      </rPr>
      <t xml:space="preserve"> </t>
    </r>
    <r>
      <rPr>
        <sz val="10"/>
        <rFont val="Arial"/>
        <family val="2"/>
      </rPr>
      <t>Unavoidable Annual Real Losses</t>
    </r>
  </si>
  <si>
    <t xml:space="preserve">
Variable Production Cost
(VPC)
(applied to Real Losses)</t>
  </si>
  <si>
    <t>v6.1</t>
  </si>
  <si>
    <t>Michael Thompson, PE</t>
  </si>
  <si>
    <t>Delaware River Basin Commission</t>
  </si>
  <si>
    <t>v6.1 introduced two new tabs:
Carbon Calculations - allows the user to enter information on the utility's energy usage and carbon intensity. In conjunction with a user-defined target leakage reduction this will calculate a carbon reduction related to the leakage reduction
Carbon Balance - mimics the Water Balance tab and adds metric tons of carbon associated with each water volume
This release also addressed some minor bugs that could occur in certain data grading configurations where hidden questions still contained answers.</t>
  </si>
  <si>
    <t>kWh</t>
  </si>
  <si>
    <r>
      <t xml:space="preserve"> AWWA Free Water Audit Software:
</t>
    </r>
    <r>
      <rPr>
        <b/>
        <sz val="14"/>
        <color rgb="FFFFFFFF"/>
        <rFont val="Arial"/>
        <family val="2"/>
      </rPr>
      <t xml:space="preserve"> Carbon Calculations</t>
    </r>
    <r>
      <rPr>
        <b/>
        <sz val="14"/>
        <color indexed="9"/>
        <rFont val="Arial"/>
        <family val="2"/>
      </rPr>
      <t xml:space="preserve"> (Optional)</t>
    </r>
  </si>
  <si>
    <t>Carbon Balance (Optional)</t>
  </si>
  <si>
    <r>
      <t xml:space="preserve">An </t>
    </r>
    <r>
      <rPr>
        <b/>
        <sz val="10"/>
        <color theme="1"/>
        <rFont val="Arial"/>
        <family val="2"/>
      </rPr>
      <t>optional</t>
    </r>
    <r>
      <rPr>
        <sz val="10"/>
        <color theme="1"/>
        <rFont val="Arial"/>
        <family val="2"/>
      </rPr>
      <t xml:space="preserve"> component to enter information on the utility's carbon intensity and calculation of carbon reduction through leakage reduction</t>
    </r>
  </si>
  <si>
    <t>The values entered in the Worksheet and optional Carbon Calculations automatically populate the Carbon Balance.</t>
  </si>
  <si>
    <t>Acknowledgements for development of the AWWA Free Water Audit Software v6.1.</t>
  </si>
  <si>
    <r>
      <t>Leakage Emissions Initiative - Water Loss Control Committee Report</t>
    </r>
    <r>
      <rPr>
        <vertAlign val="superscript"/>
        <sz val="10"/>
        <rFont val="Arial"/>
        <family val="2"/>
      </rPr>
      <t>10</t>
    </r>
  </si>
  <si>
    <t>https://www.awwa.org/resource/water-loss-control/</t>
  </si>
  <si>
    <t>mt/Yr</t>
  </si>
  <si>
    <t>6.0_6.1_2025_06_05</t>
  </si>
  <si>
    <r>
      <rPr>
        <sz val="10"/>
        <color rgb="FF000000"/>
        <rFont val="Arial"/>
        <family val="2"/>
      </rPr>
      <t>Calculated:</t>
    </r>
    <r>
      <rPr>
        <i/>
        <sz val="10"/>
        <color rgb="FF000000"/>
        <rFont val="Arial"/>
        <family val="2"/>
      </rPr>
      <t xml:space="preserve">  Utility Energy Usage</t>
    </r>
    <r>
      <rPr>
        <b/>
        <i/>
        <sz val="10"/>
        <color rgb="FF000000"/>
        <rFont val="Arial"/>
        <family val="2"/>
      </rPr>
      <t xml:space="preserve"> </t>
    </r>
    <r>
      <rPr>
        <sz val="10"/>
        <color rgb="FF000000"/>
        <rFont val="Arial"/>
        <family val="2"/>
      </rPr>
      <t xml:space="preserve">divided by </t>
    </r>
    <r>
      <rPr>
        <i/>
        <sz val="10"/>
        <color rgb="FF000000"/>
        <rFont val="Arial"/>
        <family val="2"/>
      </rPr>
      <t>Volume of Water Supplied</t>
    </r>
    <r>
      <rPr>
        <sz val="10"/>
        <color rgb="FF000000"/>
        <rFont val="Arial"/>
        <family val="2"/>
      </rPr>
      <t xml:space="preserve"> </t>
    </r>
  </si>
  <si>
    <r>
      <t xml:space="preserve">Calculated:  </t>
    </r>
    <r>
      <rPr>
        <i/>
        <sz val="10"/>
        <color rgb="FF000000"/>
        <rFont val="Arial"/>
        <family val="2"/>
      </rPr>
      <t>Reference Carbon Intensity</t>
    </r>
    <r>
      <rPr>
        <sz val="10"/>
        <color rgb="FF000000"/>
        <rFont val="Arial"/>
        <family val="2"/>
      </rPr>
      <t xml:space="preserve"> times </t>
    </r>
    <r>
      <rPr>
        <i/>
        <sz val="10"/>
        <color rgb="FF000000"/>
        <rFont val="Arial"/>
        <family val="2"/>
      </rPr>
      <t>Utility Energy Intensity, convert g to metric tons (mt)</t>
    </r>
  </si>
  <si>
    <t>←Select Volume or Carbon for display</t>
  </si>
  <si>
    <r>
      <t>User Provided:  From Utility’s energy source(s) , in grams CO</t>
    </r>
    <r>
      <rPr>
        <vertAlign val="subscript"/>
        <sz val="10"/>
        <rFont val="Arial"/>
        <family val="2"/>
      </rPr>
      <t>2</t>
    </r>
    <r>
      <rPr>
        <sz val="10"/>
        <rFont val="Arial"/>
        <family val="2"/>
      </rPr>
      <t xml:space="preserve"> equivalent per kWh</t>
    </r>
  </si>
  <si>
    <t>9. Sturm, R., W. Jernigan, C. Stief, and D. Blackwell.  Level 1 Water Audit Validation Guidance Manual. 2nd Edition, (forthcoming) 2021. Project #5057. Denver: Water Research Foundation.</t>
  </si>
  <si>
    <t>10. Cavanaugh, M.S., A. McCarthy, A. Chastain-Howley.  Water Loss Control Committee Report: Leakage Emissions Initiative.  2025.  
https://www.awwa.org/wp-content/uploads/Leakage-Emissions-Initiative-Committee-Report.pdf</t>
  </si>
  <si>
    <t>Display Volume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</si>
</sst>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77">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0"/>
      <color theme="9" tint="-0.249977111117893"/>
      <name val="Arial"/>
      <family val="2"/>
    </font>
    <font>
      <b/>
      <i/>
      <sz val="10"/>
      <color theme="0" tint="-0.249977111117893"/>
      <name val="Arial"/>
      <family val="2"/>
    </font>
    <font>
      <b/>
      <i/>
      <sz val="10"/>
      <color rgb="FFFF0000"/>
      <name val="Arial"/>
      <family val="2"/>
    </font>
    <font>
      <b/>
      <i/>
      <sz val="10"/>
      <color theme="0"/>
      <name val="Arial"/>
      <family val="2"/>
    </font>
    <font>
      <i/>
      <sz val="9"/>
      <color theme="0"/>
      <name val="Arial"/>
      <family val="2"/>
    </font>
    <font>
      <b/>
      <i/>
      <sz val="10"/>
      <color theme="0" tint="-0.499984740745262"/>
      <name val="Arial"/>
      <family val="2"/>
    </font>
    <font>
      <u/>
      <sz val="9"/>
      <color indexed="12"/>
      <name val="Arial"/>
      <family val="2"/>
    </font>
    <font>
      <b/>
      <sz val="10"/>
      <color theme="0" tint="-0.499984740745262"/>
      <name val="Arial"/>
      <family val="2"/>
    </font>
    <font>
      <b/>
      <sz val="10"/>
      <color rgb="FF0000FF"/>
      <name val="Arial"/>
      <family val="2"/>
    </font>
    <font>
      <sz val="10"/>
      <color rgb="FF0000FF"/>
      <name val="Arial"/>
      <family val="2"/>
    </font>
    <font>
      <b/>
      <sz val="11"/>
      <color indexed="9"/>
      <name val="Arial"/>
      <family val="2"/>
    </font>
    <font>
      <sz val="11"/>
      <color rgb="FF000000"/>
      <name val="Arial"/>
      <family val="2"/>
    </font>
    <font>
      <b/>
      <sz val="11"/>
      <color rgb="FF000000"/>
      <name val="Arial"/>
      <family val="2"/>
    </font>
    <font>
      <b/>
      <sz val="10"/>
      <color indexed="9"/>
      <name val="Arial"/>
      <family val="2"/>
    </font>
    <font>
      <i/>
      <sz val="10"/>
      <color rgb="FF0000FF"/>
      <name val="Arial"/>
      <family val="2"/>
    </font>
    <font>
      <u/>
      <sz val="10"/>
      <color rgb="FF0000FF"/>
      <name val="Arial"/>
      <family val="2"/>
    </font>
    <font>
      <b/>
      <sz val="10"/>
      <color theme="1"/>
      <name val="Arial"/>
      <family val="2"/>
    </font>
    <font>
      <i/>
      <sz val="10"/>
      <color rgb="FF000000"/>
      <name val="Arial"/>
      <family val="2"/>
    </font>
    <font>
      <b/>
      <i/>
      <sz val="10"/>
      <color rgb="FF000000"/>
      <name val="Arial"/>
      <family val="2"/>
    </font>
    <font>
      <vertAlign val="subscript"/>
      <sz val="10"/>
      <name val="Arial"/>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7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
      <left/>
      <right/>
      <top style="thin">
        <color theme="4" tint="-0.24994659260841701"/>
      </top>
      <bottom style="thin">
        <color theme="4" tint="-0.24994659260841701"/>
      </bottom>
      <diagonal/>
    </border>
    <border>
      <left style="thin">
        <color indexed="64"/>
      </left>
      <right/>
      <top style="mediumDashed">
        <color indexed="64"/>
      </top>
      <bottom/>
      <diagonal/>
    </border>
    <border>
      <left/>
      <right style="thin">
        <color indexed="64"/>
      </right>
      <top style="mediumDashed">
        <color indexed="64"/>
      </top>
      <bottom/>
      <diagonal/>
    </border>
    <border>
      <left style="thin">
        <color indexed="64"/>
      </left>
      <right/>
      <top/>
      <bottom style="double">
        <color theme="3" tint="0.39994506668294322"/>
      </bottom>
      <diagonal/>
    </border>
    <border>
      <left style="double">
        <color theme="3" tint="0.39994506668294322"/>
      </left>
      <right style="double">
        <color theme="3" tint="0.39991454817346722"/>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left>
      <right style="thin">
        <color indexed="64"/>
      </right>
      <top/>
      <bottom/>
      <diagonal/>
    </border>
    <border>
      <left style="thin">
        <color auto="1"/>
      </left>
      <right style="double">
        <color theme="3" tint="0.39991454817346722"/>
      </right>
      <top/>
      <bottom style="thin">
        <color indexed="64"/>
      </bottom>
      <diagonal/>
    </border>
    <border>
      <left style="double">
        <color theme="3" tint="0.39994506668294322"/>
      </left>
      <right style="double">
        <color theme="3" tint="0.39991454817346722"/>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391">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79"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78" xfId="0" applyFont="1" applyBorder="1" applyAlignment="1">
      <alignment horizontal="center" vertical="center" textRotation="90"/>
    </xf>
    <xf numFmtId="0" fontId="82" fillId="0" borderId="79"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6"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6"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79" xfId="0" applyFont="1" applyBorder="1" applyAlignment="1">
      <alignment horizontal="center" vertical="center"/>
    </xf>
    <xf numFmtId="1" fontId="45" fillId="0" borderId="0" xfId="0" applyNumberFormat="1" applyFont="1" applyAlignment="1">
      <alignment horizontal="center" vertical="center"/>
    </xf>
    <xf numFmtId="0" fontId="83" fillId="0" borderId="79"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1" xfId="4" applyNumberFormat="1" applyFont="1" applyFill="1" applyBorder="1" applyAlignment="1" applyProtection="1">
      <alignment horizontal="left"/>
    </xf>
    <xf numFmtId="0" fontId="35" fillId="0" borderId="81" xfId="0" applyFont="1" applyBorder="1"/>
    <xf numFmtId="1" fontId="35" fillId="0" borderId="81" xfId="0" applyNumberFormat="1" applyFont="1" applyBorder="1"/>
    <xf numFmtId="0" fontId="36" fillId="0" borderId="81" xfId="0" applyFont="1" applyBorder="1"/>
    <xf numFmtId="0" fontId="83" fillId="0" borderId="82" xfId="0" applyFont="1" applyBorder="1" applyAlignment="1">
      <alignment horizontal="center"/>
    </xf>
    <xf numFmtId="168" fontId="2" fillId="21" borderId="76" xfId="0" applyNumberFormat="1" applyFont="1" applyFill="1" applyBorder="1" applyProtection="1">
      <protection locked="0"/>
    </xf>
    <xf numFmtId="0" fontId="2" fillId="0" borderId="0" xfId="0" applyFont="1" applyAlignment="1">
      <alignment horizontal="left" indent="2"/>
    </xf>
    <xf numFmtId="165" fontId="2" fillId="9" borderId="76" xfId="0" applyNumberFormat="1" applyFont="1" applyFill="1" applyBorder="1" applyProtection="1">
      <protection locked="0"/>
    </xf>
    <xf numFmtId="165" fontId="2" fillId="9" borderId="76" xfId="0" applyNumberFormat="1" applyFont="1" applyFill="1" applyBorder="1" applyAlignment="1" applyProtection="1">
      <alignment horizontal="right"/>
      <protection locked="0"/>
    </xf>
    <xf numFmtId="165" fontId="12" fillId="9" borderId="76" xfId="0" applyNumberFormat="1" applyFont="1" applyFill="1" applyBorder="1" applyProtection="1">
      <protection locked="0"/>
    </xf>
    <xf numFmtId="169" fontId="12" fillId="9" borderId="76"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5" xfId="0" applyNumberFormat="1" applyFont="1" applyFill="1" applyBorder="1" applyAlignment="1">
      <alignment horizontal="left" vertical="center"/>
    </xf>
    <xf numFmtId="168" fontId="13" fillId="19" borderId="105" xfId="0" applyNumberFormat="1" applyFont="1" applyFill="1" applyBorder="1" applyAlignment="1">
      <alignment vertical="center"/>
    </xf>
    <xf numFmtId="0" fontId="13" fillId="9" borderId="127" xfId="7" applyFont="1" applyFill="1" applyBorder="1" applyAlignment="1" applyProtection="1">
      <alignment horizontal="left" vertical="center" wrapText="1"/>
      <protection locked="0"/>
    </xf>
    <xf numFmtId="0" fontId="42" fillId="0" borderId="78" xfId="0" applyFont="1" applyBorder="1"/>
    <xf numFmtId="0" fontId="42" fillId="0" borderId="79" xfId="0" applyFont="1" applyBorder="1"/>
    <xf numFmtId="0" fontId="42" fillId="0" borderId="80" xfId="0" applyFont="1" applyBorder="1"/>
    <xf numFmtId="0" fontId="42" fillId="0" borderId="81" xfId="0" applyFont="1" applyBorder="1"/>
    <xf numFmtId="0" fontId="42" fillId="0" borderId="82" xfId="0" applyFont="1" applyBorder="1"/>
    <xf numFmtId="0" fontId="42" fillId="0" borderId="79" xfId="0" applyFont="1" applyBorder="1" applyAlignment="1">
      <alignment vertical="top"/>
    </xf>
    <xf numFmtId="0" fontId="42" fillId="0" borderId="78" xfId="0" applyFont="1" applyBorder="1" applyAlignment="1">
      <alignment vertical="center"/>
    </xf>
    <xf numFmtId="0" fontId="42" fillId="0" borderId="79"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6" xfId="0" applyFont="1" applyBorder="1"/>
    <xf numFmtId="0" fontId="12" fillId="0" borderId="2" xfId="0" applyFont="1" applyBorder="1"/>
    <xf numFmtId="0" fontId="59" fillId="0" borderId="99" xfId="0" applyFont="1" applyBorder="1" applyAlignment="1">
      <alignment horizontal="center" vertical="center" wrapText="1"/>
    </xf>
    <xf numFmtId="0" fontId="59" fillId="0" borderId="102"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3" xfId="0" applyNumberFormat="1" applyFont="1" applyBorder="1" applyAlignment="1">
      <alignment horizontal="center" vertical="center"/>
    </xf>
    <xf numFmtId="0" fontId="49" fillId="0" borderId="86"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87"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87"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87"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6"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6"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87"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3" fillId="0" borderId="88" xfId="4" applyFill="1" applyBorder="1" applyAlignment="1" applyProtection="1">
      <alignment horizontal="center" vertical="center" wrapText="1" shrinkToFit="1"/>
    </xf>
    <xf numFmtId="0" fontId="3" fillId="0" borderId="98" xfId="4" applyFill="1" applyBorder="1" applyAlignment="1" applyProtection="1">
      <alignment horizontal="center" vertical="center" wrapText="1" shrinkToFit="1"/>
    </xf>
    <xf numFmtId="0" fontId="3" fillId="0" borderId="89" xfId="4" applyFill="1" applyBorder="1" applyAlignment="1" applyProtection="1">
      <alignment horizontal="center" vertical="center" wrapText="1" shrinkToFit="1"/>
    </xf>
    <xf numFmtId="0" fontId="27" fillId="0" borderId="90" xfId="0" applyFont="1" applyBorder="1"/>
    <xf numFmtId="0" fontId="27" fillId="0" borderId="89" xfId="0" applyFont="1" applyBorder="1"/>
    <xf numFmtId="0" fontId="12" fillId="0" borderId="91"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3"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2"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3" xfId="0" applyFont="1" applyFill="1" applyBorder="1" applyAlignment="1">
      <alignment horizontal="center" wrapText="1"/>
    </xf>
    <xf numFmtId="0" fontId="100" fillId="22" borderId="93" xfId="0" applyFont="1" applyFill="1" applyBorder="1" applyAlignment="1">
      <alignment horizontal="left" wrapText="1"/>
    </xf>
    <xf numFmtId="0" fontId="98" fillId="22" borderId="94" xfId="0" applyFont="1" applyFill="1" applyBorder="1" applyAlignment="1">
      <alignment horizontal="center" vertical="top" wrapText="1"/>
    </xf>
    <xf numFmtId="0" fontId="98" fillId="22" borderId="90" xfId="0" applyFont="1" applyFill="1" applyBorder="1" applyAlignment="1">
      <alignment horizontal="center" vertical="top" wrapText="1"/>
    </xf>
    <xf numFmtId="0" fontId="99" fillId="22" borderId="90" xfId="0" applyFont="1" applyFill="1" applyBorder="1" applyAlignment="1">
      <alignment horizontal="center"/>
    </xf>
    <xf numFmtId="0" fontId="99" fillId="22" borderId="95" xfId="0" applyFont="1" applyFill="1" applyBorder="1" applyAlignment="1">
      <alignment horizontal="center"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2"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4" fillId="0" borderId="0" xfId="0" applyFont="1" applyAlignment="1">
      <alignment wrapText="1"/>
    </xf>
    <xf numFmtId="0" fontId="103" fillId="0" borderId="0" xfId="0" applyFont="1"/>
    <xf numFmtId="1" fontId="13" fillId="0" borderId="0" xfId="0" applyNumberFormat="1" applyFont="1" applyAlignment="1">
      <alignment horizontal="center" vertical="center"/>
    </xf>
    <xf numFmtId="10" fontId="102"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29" xfId="0" applyNumberFormat="1" applyFont="1" applyFill="1" applyBorder="1" applyProtection="1">
      <protection locked="0"/>
    </xf>
    <xf numFmtId="3" fontId="2" fillId="9" borderId="129" xfId="0" applyNumberFormat="1" applyFont="1" applyFill="1" applyBorder="1" applyProtection="1">
      <protection locked="0"/>
    </xf>
    <xf numFmtId="0" fontId="35" fillId="0" borderId="127"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27" xfId="0" applyFont="1" applyBorder="1" applyAlignment="1">
      <alignment horizontal="right" vertical="center"/>
    </xf>
    <xf numFmtId="0" fontId="17" fillId="0" borderId="127" xfId="0" applyFont="1" applyBorder="1" applyAlignment="1">
      <alignment horizontal="center" vertical="center"/>
    </xf>
    <xf numFmtId="0" fontId="12" fillId="0" borderId="0" xfId="0" quotePrefix="1" applyFont="1" applyAlignment="1">
      <alignment vertical="center"/>
    </xf>
    <xf numFmtId="0" fontId="105" fillId="16" borderId="0" xfId="0" applyFont="1" applyFill="1"/>
    <xf numFmtId="0" fontId="106" fillId="0" borderId="0" xfId="0" applyFont="1"/>
    <xf numFmtId="0" fontId="105" fillId="0" borderId="0" xfId="0" applyFont="1" applyAlignment="1">
      <alignment wrapText="1"/>
    </xf>
    <xf numFmtId="0" fontId="105" fillId="0" borderId="0" xfId="0" quotePrefix="1" applyFont="1" applyAlignment="1">
      <alignment vertical="center"/>
    </xf>
    <xf numFmtId="0" fontId="106" fillId="0" borderId="0" xfId="0" applyFont="1" applyAlignment="1">
      <alignment horizontal="left"/>
    </xf>
    <xf numFmtId="0" fontId="105" fillId="0" borderId="0" xfId="0" applyFont="1" applyAlignment="1">
      <alignment horizontal="right"/>
    </xf>
    <xf numFmtId="0" fontId="106" fillId="0" borderId="0" xfId="0" applyFont="1" applyAlignment="1">
      <alignment horizontal="right"/>
    </xf>
    <xf numFmtId="0" fontId="105" fillId="0" borderId="0" xfId="0" applyFont="1"/>
    <xf numFmtId="2" fontId="106" fillId="0" borderId="0" xfId="0" applyNumberFormat="1" applyFont="1" applyAlignment="1">
      <alignment horizontal="right"/>
    </xf>
    <xf numFmtId="2" fontId="106" fillId="0" borderId="0" xfId="0" applyNumberFormat="1" applyFont="1"/>
    <xf numFmtId="0" fontId="105" fillId="0" borderId="16" xfId="0" applyFont="1" applyBorder="1"/>
    <xf numFmtId="0" fontId="106" fillId="0" borderId="16" xfId="0" applyFont="1" applyBorder="1"/>
    <xf numFmtId="0" fontId="108" fillId="0" borderId="0" xfId="0" applyFont="1" applyAlignment="1">
      <alignment horizontal="right" vertical="center"/>
    </xf>
    <xf numFmtId="0" fontId="108" fillId="0" borderId="0" xfId="0" applyFont="1" applyAlignment="1">
      <alignment horizontal="center" vertical="center"/>
    </xf>
    <xf numFmtId="0" fontId="108" fillId="0" borderId="0" xfId="0" applyFont="1"/>
    <xf numFmtId="0" fontId="108" fillId="0" borderId="81" xfId="0" applyFont="1" applyBorder="1"/>
    <xf numFmtId="0" fontId="109" fillId="16" borderId="0" xfId="0" applyFont="1" applyFill="1"/>
    <xf numFmtId="0" fontId="109" fillId="9" borderId="0" xfId="0" applyFont="1" applyFill="1"/>
    <xf numFmtId="0" fontId="105" fillId="0" borderId="0" xfId="4" applyFont="1" applyFill="1" applyBorder="1" applyAlignment="1" applyProtection="1">
      <alignment horizontal="right"/>
    </xf>
    <xf numFmtId="10" fontId="102"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36" xfId="0" applyNumberFormat="1" applyFont="1" applyFill="1" applyBorder="1" applyProtection="1">
      <protection locked="0"/>
    </xf>
    <xf numFmtId="168" fontId="2" fillId="21" borderId="135" xfId="0" applyNumberFormat="1" applyFont="1" applyFill="1" applyBorder="1" applyProtection="1">
      <protection locked="0"/>
    </xf>
    <xf numFmtId="0" fontId="12" fillId="3" borderId="0" xfId="0" applyFont="1" applyFill="1" applyAlignment="1">
      <alignment horizontal="center"/>
    </xf>
    <xf numFmtId="0" fontId="12" fillId="0" borderId="127" xfId="0" applyFont="1" applyBorder="1" applyAlignment="1">
      <alignment horizontal="center"/>
    </xf>
    <xf numFmtId="49" fontId="107" fillId="9" borderId="76" xfId="4" applyNumberFormat="1" applyFont="1" applyFill="1" applyBorder="1" applyAlignment="1" applyProtection="1">
      <alignment horizontal="center" vertical="center"/>
    </xf>
    <xf numFmtId="0" fontId="11" fillId="0" borderId="0" xfId="0" quotePrefix="1" applyFont="1" applyAlignment="1">
      <alignment horizontal="center"/>
    </xf>
    <xf numFmtId="0" fontId="107" fillId="0" borderId="0" xfId="0" applyFont="1"/>
    <xf numFmtId="0" fontId="17" fillId="0" borderId="138" xfId="0" applyFont="1" applyBorder="1"/>
    <xf numFmtId="0" fontId="106" fillId="0" borderId="138" xfId="0" applyFont="1" applyBorder="1"/>
    <xf numFmtId="1" fontId="31" fillId="0" borderId="138" xfId="0" applyNumberFormat="1" applyFont="1" applyBorder="1"/>
    <xf numFmtId="0" fontId="12" fillId="0" borderId="138" xfId="0" applyFont="1" applyBorder="1"/>
    <xf numFmtId="0" fontId="17" fillId="0" borderId="138" xfId="0" applyFont="1" applyBorder="1" applyAlignment="1">
      <alignment horizontal="right"/>
    </xf>
    <xf numFmtId="2" fontId="17" fillId="0" borderId="138" xfId="0" applyNumberFormat="1" applyFont="1" applyBorder="1"/>
    <xf numFmtId="2" fontId="106" fillId="0" borderId="138" xfId="0" applyNumberFormat="1" applyFont="1" applyBorder="1"/>
    <xf numFmtId="2" fontId="12" fillId="0" borderId="138" xfId="0" applyNumberFormat="1" applyFont="1" applyBorder="1"/>
    <xf numFmtId="0" fontId="12" fillId="0" borderId="138" xfId="0" applyFont="1" applyBorder="1" applyAlignment="1">
      <alignment horizontal="left"/>
    </xf>
    <xf numFmtId="0" fontId="17" fillId="0" borderId="138" xfId="0" applyFont="1" applyBorder="1" applyAlignment="1">
      <alignment horizontal="left"/>
    </xf>
    <xf numFmtId="0" fontId="106" fillId="0" borderId="138" xfId="0" applyFont="1" applyBorder="1" applyAlignment="1">
      <alignment horizontal="left"/>
    </xf>
    <xf numFmtId="1" fontId="31" fillId="0" borderId="138" xfId="0" applyNumberFormat="1" applyFont="1" applyBorder="1" applyAlignment="1">
      <alignment horizontal="left"/>
    </xf>
    <xf numFmtId="1" fontId="30" fillId="0" borderId="138"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79" xfId="0" applyFont="1" applyBorder="1" applyAlignment="1">
      <alignment textRotation="90"/>
    </xf>
    <xf numFmtId="0" fontId="11" fillId="0" borderId="79" xfId="0" applyFont="1" applyBorder="1"/>
    <xf numFmtId="0" fontId="82" fillId="16" borderId="0" xfId="0" applyFont="1" applyFill="1" applyAlignment="1">
      <alignment horizontal="center" vertical="center"/>
    </xf>
    <xf numFmtId="0" fontId="82" fillId="0" borderId="78" xfId="0" applyFont="1" applyBorder="1" applyAlignment="1">
      <alignment horizontal="center" vertical="center"/>
    </xf>
    <xf numFmtId="0" fontId="11" fillId="0" borderId="78" xfId="0" applyFont="1" applyBorder="1" applyAlignment="1">
      <alignment horizontal="center" vertical="center"/>
    </xf>
    <xf numFmtId="0" fontId="83" fillId="0" borderId="78" xfId="0" applyFont="1" applyBorder="1" applyAlignment="1">
      <alignment horizontal="center" vertical="center"/>
    </xf>
    <xf numFmtId="0" fontId="83" fillId="0" borderId="80"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1" fillId="0" borderId="0" xfId="6" applyFont="1" applyAlignment="1">
      <alignment vertical="center"/>
    </xf>
    <xf numFmtId="0" fontId="112" fillId="0" borderId="0" xfId="6" applyFont="1" applyAlignment="1">
      <alignment vertical="center"/>
    </xf>
    <xf numFmtId="0" fontId="113" fillId="0" borderId="0" xfId="7" applyFont="1" applyAlignment="1">
      <alignment horizontal="left" vertical="center"/>
    </xf>
    <xf numFmtId="0" fontId="103" fillId="0" borderId="0" xfId="6" applyFont="1" applyAlignment="1">
      <alignment vertical="center"/>
    </xf>
    <xf numFmtId="0" fontId="111" fillId="0" borderId="0" xfId="6" applyFont="1"/>
    <xf numFmtId="49" fontId="107" fillId="9" borderId="76" xfId="4" applyNumberFormat="1" applyFont="1" applyFill="1" applyBorder="1" applyAlignment="1" applyProtection="1">
      <alignment horizontal="center" vertical="top"/>
    </xf>
    <xf numFmtId="0" fontId="114" fillId="0" borderId="0" xfId="0" applyFont="1" applyAlignment="1">
      <alignment horizontal="right" vertical="top"/>
    </xf>
    <xf numFmtId="0" fontId="107" fillId="0" borderId="0" xfId="0" applyFont="1" applyAlignment="1">
      <alignment vertical="top"/>
    </xf>
    <xf numFmtId="168" fontId="102" fillId="0" borderId="0" xfId="0" applyNumberFormat="1" applyFont="1" applyAlignment="1" applyProtection="1">
      <alignment horizontal="center"/>
      <protection locked="0"/>
    </xf>
    <xf numFmtId="168" fontId="102" fillId="0" borderId="0" xfId="0" applyNumberFormat="1" applyFont="1" applyProtection="1">
      <protection locked="0"/>
    </xf>
    <xf numFmtId="168" fontId="2" fillId="21" borderId="76" xfId="0" applyNumberFormat="1" applyFont="1" applyFill="1" applyBorder="1" applyAlignment="1" applyProtection="1">
      <alignment horizontal="center"/>
      <protection locked="0"/>
    </xf>
    <xf numFmtId="2" fontId="2" fillId="0" borderId="0" xfId="0" applyNumberFormat="1" applyFont="1"/>
    <xf numFmtId="0" fontId="2" fillId="0" borderId="79" xfId="0" applyFont="1" applyBorder="1"/>
    <xf numFmtId="0" fontId="2" fillId="0" borderId="0" xfId="0" applyFont="1" applyAlignment="1">
      <alignment vertical="top" wrapText="1"/>
    </xf>
    <xf numFmtId="0" fontId="2" fillId="0" borderId="79"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2" fillId="0" borderId="78" xfId="0" applyFont="1" applyBorder="1" applyAlignment="1">
      <alignment horizontal="left" vertical="center"/>
    </xf>
    <xf numFmtId="0" fontId="2" fillId="0" borderId="80" xfId="0" applyFont="1" applyBorder="1"/>
    <xf numFmtId="0" fontId="2" fillId="0" borderId="81" xfId="0" applyFont="1" applyBorder="1"/>
    <xf numFmtId="0" fontId="3" fillId="0" borderId="81" xfId="4" applyBorder="1" applyAlignment="1" applyProtection="1"/>
    <xf numFmtId="0" fontId="2" fillId="0" borderId="82" xfId="0" applyFont="1" applyBorder="1"/>
    <xf numFmtId="0" fontId="102" fillId="0" borderId="0" xfId="0" applyFont="1" applyAlignment="1">
      <alignment horizontal="right"/>
    </xf>
    <xf numFmtId="0" fontId="59" fillId="0" borderId="146" xfId="0" applyFont="1" applyBorder="1" applyAlignment="1">
      <alignment horizontal="center" vertical="center" wrapText="1"/>
    </xf>
    <xf numFmtId="0" fontId="91" fillId="0" borderId="79" xfId="0" applyFont="1" applyBorder="1" applyAlignment="1">
      <alignment vertical="center"/>
    </xf>
    <xf numFmtId="168" fontId="12" fillId="19" borderId="0" xfId="0" applyNumberFormat="1" applyFont="1" applyFill="1" applyAlignment="1" applyProtection="1">
      <alignment vertical="center"/>
      <protection hidden="1"/>
    </xf>
    <xf numFmtId="1" fontId="119" fillId="0" borderId="0" xfId="0" applyNumberFormat="1" applyFont="1" applyAlignment="1">
      <alignment horizontal="center"/>
    </xf>
    <xf numFmtId="0" fontId="2" fillId="0" borderId="78" xfId="0" applyFont="1" applyBorder="1"/>
    <xf numFmtId="174" fontId="0" fillId="0" borderId="0" xfId="3" applyNumberFormat="1" applyFont="1" applyFill="1"/>
    <xf numFmtId="174" fontId="0" fillId="10" borderId="0" xfId="3" applyNumberFormat="1" applyFont="1" applyFill="1"/>
    <xf numFmtId="49" fontId="103" fillId="15" borderId="0" xfId="4" applyNumberFormat="1" applyFont="1" applyFill="1" applyBorder="1" applyAlignment="1" applyProtection="1">
      <alignment horizontal="center" vertical="top"/>
    </xf>
    <xf numFmtId="168" fontId="2" fillId="9" borderId="76" xfId="0" applyNumberFormat="1" applyFont="1" applyFill="1" applyBorder="1" applyProtection="1">
      <protection locked="0"/>
    </xf>
    <xf numFmtId="0" fontId="102" fillId="0" borderId="0" xfId="0" applyFont="1" applyAlignment="1">
      <alignment horizontal="center"/>
    </xf>
    <xf numFmtId="0" fontId="116"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0"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8" xfId="12" applyBorder="1"/>
    <xf numFmtId="0" fontId="120" fillId="0" borderId="0" xfId="12" applyFont="1" applyAlignment="1">
      <alignment horizontal="right" vertical="center"/>
    </xf>
    <xf numFmtId="0" fontId="25" fillId="0" borderId="0" xfId="12" applyFont="1" applyAlignment="1">
      <alignment horizontal="left" indent="1"/>
    </xf>
    <xf numFmtId="0" fontId="110" fillId="0" borderId="0" xfId="12" applyFont="1" applyAlignment="1">
      <alignment vertical="top" wrapText="1"/>
    </xf>
    <xf numFmtId="0" fontId="110" fillId="0" borderId="0" xfId="12" applyFont="1" applyAlignment="1">
      <alignment horizontal="left"/>
    </xf>
    <xf numFmtId="0" fontId="110"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0" fillId="0" borderId="0" xfId="15" applyFont="1" applyAlignment="1">
      <alignment wrapText="1"/>
    </xf>
    <xf numFmtId="0" fontId="110" fillId="0" borderId="0" xfId="15" applyFont="1" applyAlignment="1">
      <alignment horizontal="right" vertical="center" wrapText="1" indent="1"/>
    </xf>
    <xf numFmtId="0" fontId="110" fillId="0" borderId="0" xfId="12" applyFont="1" applyAlignment="1">
      <alignment horizontal="left" vertical="center"/>
    </xf>
    <xf numFmtId="0" fontId="110" fillId="0" borderId="0" xfId="12" applyFont="1" applyAlignment="1">
      <alignment horizontal="right"/>
    </xf>
    <xf numFmtId="0" fontId="12" fillId="0" borderId="0" xfId="0" applyFont="1" applyAlignment="1">
      <alignment horizontal="right" vertical="top" indent="1"/>
    </xf>
    <xf numFmtId="0" fontId="1" fillId="21" borderId="97" xfId="12" applyFill="1" applyBorder="1" applyAlignment="1">
      <alignment horizontal="right" vertical="top" indent="1"/>
    </xf>
    <xf numFmtId="0" fontId="1" fillId="21" borderId="104" xfId="12" applyFill="1" applyBorder="1" applyAlignment="1">
      <alignment horizontal="right" vertical="top" indent="1"/>
    </xf>
    <xf numFmtId="0" fontId="1" fillId="21" borderId="105" xfId="12" applyFill="1" applyBorder="1" applyAlignment="1">
      <alignment horizontal="right" vertical="top" indent="1"/>
    </xf>
    <xf numFmtId="0" fontId="116"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0" fillId="0" borderId="0" xfId="12" applyFont="1" applyAlignment="1">
      <alignment horizontal="right" vertical="top"/>
    </xf>
    <xf numFmtId="0" fontId="110" fillId="0" borderId="0" xfId="12" applyFont="1" applyAlignment="1">
      <alignment horizontal="center" vertical="center"/>
    </xf>
    <xf numFmtId="0" fontId="2" fillId="0" borderId="81" xfId="0" applyFont="1" applyBorder="1" applyAlignment="1">
      <alignment horizontal="right"/>
    </xf>
    <xf numFmtId="168" fontId="2" fillId="21" borderId="135" xfId="0" applyNumberFormat="1" applyFont="1" applyFill="1" applyBorder="1" applyAlignment="1" applyProtection="1">
      <alignment horizontal="center"/>
      <protection locked="0"/>
    </xf>
    <xf numFmtId="0" fontId="115" fillId="0" borderId="0" xfId="0" applyFont="1" applyAlignment="1" applyProtection="1">
      <alignment horizontal="left"/>
      <protection hidden="1"/>
    </xf>
    <xf numFmtId="0" fontId="23" fillId="0" borderId="0" xfId="12" applyFont="1" applyAlignment="1">
      <alignment vertical="center"/>
    </xf>
    <xf numFmtId="0" fontId="121" fillId="16" borderId="0" xfId="0" applyFont="1" applyFill="1"/>
    <xf numFmtId="0" fontId="122" fillId="16" borderId="0" xfId="0" applyFont="1" applyFill="1"/>
    <xf numFmtId="0" fontId="1" fillId="0" borderId="156" xfId="12" applyBorder="1" applyAlignment="1">
      <alignment horizontal="center"/>
    </xf>
    <xf numFmtId="0" fontId="1" fillId="0" borderId="157" xfId="12" applyBorder="1" applyAlignment="1">
      <alignment horizontal="center"/>
    </xf>
    <xf numFmtId="0" fontId="1" fillId="0" borderId="158" xfId="12" applyBorder="1" applyAlignment="1">
      <alignment horizontal="center"/>
    </xf>
    <xf numFmtId="0" fontId="61" fillId="0" borderId="0" xfId="6" applyFont="1" applyAlignment="1">
      <alignment horizontal="center" vertical="center"/>
    </xf>
    <xf numFmtId="0" fontId="42" fillId="26" borderId="0" xfId="0" applyFont="1" applyFill="1"/>
    <xf numFmtId="0" fontId="123" fillId="0" borderId="0" xfId="0" applyFont="1"/>
    <xf numFmtId="0" fontId="123" fillId="0" borderId="0" xfId="0" applyFont="1" applyProtection="1">
      <protection hidden="1"/>
    </xf>
    <xf numFmtId="0" fontId="123" fillId="0" borderId="0" xfId="0" applyFont="1" applyAlignment="1">
      <alignment vertical="center"/>
    </xf>
    <xf numFmtId="0" fontId="123" fillId="0" borderId="0" xfId="0" applyFont="1" applyAlignment="1" applyProtection="1">
      <alignment vertical="center"/>
      <protection hidden="1"/>
    </xf>
    <xf numFmtId="9" fontId="123" fillId="0" borderId="0" xfId="0" applyNumberFormat="1" applyFont="1" applyProtection="1">
      <protection hidden="1"/>
    </xf>
    <xf numFmtId="1" fontId="42" fillId="27" borderId="0" xfId="0" applyNumberFormat="1" applyFont="1" applyFill="1" applyAlignment="1">
      <alignment horizontal="left"/>
    </xf>
    <xf numFmtId="0" fontId="123" fillId="0" borderId="0" xfId="10" applyFont="1" applyProtection="1">
      <protection hidden="1"/>
    </xf>
    <xf numFmtId="0" fontId="123" fillId="0" borderId="0" xfId="10" applyFont="1"/>
    <xf numFmtId="0" fontId="44" fillId="0" borderId="0" xfId="0" applyFont="1" applyAlignment="1">
      <alignment vertical="center"/>
    </xf>
    <xf numFmtId="0" fontId="15" fillId="23" borderId="106" xfId="0" applyFont="1" applyFill="1" applyBorder="1" applyAlignment="1">
      <alignment vertical="center" wrapText="1"/>
    </xf>
    <xf numFmtId="0" fontId="15" fillId="23" borderId="107" xfId="0" applyFont="1" applyFill="1" applyBorder="1" applyAlignment="1">
      <alignment vertical="center" wrapText="1"/>
    </xf>
    <xf numFmtId="0" fontId="15" fillId="23" borderId="78" xfId="0" applyFont="1" applyFill="1" applyBorder="1" applyAlignment="1">
      <alignment vertical="center" wrapText="1"/>
    </xf>
    <xf numFmtId="0" fontId="15" fillId="23" borderId="0" xfId="0" applyFont="1" applyFill="1" applyAlignment="1">
      <alignment vertical="center" wrapText="1"/>
    </xf>
    <xf numFmtId="0" fontId="15" fillId="23" borderId="107" xfId="0" applyFont="1" applyFill="1" applyBorder="1"/>
    <xf numFmtId="0" fontId="124" fillId="22" borderId="0" xfId="0" applyFont="1" applyFill="1" applyAlignment="1">
      <alignment horizontal="right" vertical="center"/>
    </xf>
    <xf numFmtId="0" fontId="125" fillId="22" borderId="0" xfId="0" applyFont="1" applyFill="1" applyAlignment="1">
      <alignment vertical="center" wrapText="1"/>
    </xf>
    <xf numFmtId="0" fontId="126" fillId="22" borderId="0" xfId="0" applyFont="1" applyFill="1" applyAlignment="1">
      <alignment vertical="center"/>
    </xf>
    <xf numFmtId="0" fontId="126" fillId="22" borderId="0" xfId="0" applyFont="1" applyFill="1"/>
    <xf numFmtId="0" fontId="124" fillId="22" borderId="0" xfId="0" applyFont="1" applyFill="1" applyAlignment="1" applyProtection="1">
      <alignment vertical="center"/>
      <protection hidden="1"/>
    </xf>
    <xf numFmtId="0" fontId="124"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7" fillId="0" borderId="0" xfId="0" applyFont="1"/>
    <xf numFmtId="0" fontId="128"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1" xfId="0" applyFont="1" applyBorder="1"/>
    <xf numFmtId="0" fontId="54" fillId="0" borderId="81" xfId="0" applyFont="1" applyBorder="1" applyAlignment="1">
      <alignment horizontal="left"/>
    </xf>
    <xf numFmtId="0" fontId="23" fillId="0" borderId="81" xfId="0" applyFont="1" applyBorder="1" applyAlignment="1">
      <alignment horizontal="right" vertical="center"/>
    </xf>
    <xf numFmtId="1" fontId="23" fillId="0" borderId="81" xfId="0" applyNumberFormat="1" applyFont="1" applyBorder="1" applyAlignment="1">
      <alignment horizontal="right" vertical="center"/>
    </xf>
    <xf numFmtId="0" fontId="54" fillId="0" borderId="81" xfId="0" applyFont="1" applyBorder="1" applyAlignment="1">
      <alignment horizontal="right"/>
    </xf>
    <xf numFmtId="0" fontId="54" fillId="0" borderId="81"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27" xfId="1" applyNumberFormat="1" applyFont="1" applyBorder="1" applyAlignment="1" applyProtection="1">
      <alignment horizontal="center"/>
      <protection hidden="1"/>
    </xf>
    <xf numFmtId="173" fontId="42" fillId="0" borderId="127"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27" xfId="1" applyNumberFormat="1" applyFont="1" applyFill="1" applyBorder="1" applyAlignment="1">
      <alignment horizontal="center"/>
    </xf>
    <xf numFmtId="175" fontId="42" fillId="28" borderId="127" xfId="1" applyNumberFormat="1" applyFont="1" applyFill="1" applyBorder="1" applyAlignment="1">
      <alignment horizontal="center"/>
    </xf>
    <xf numFmtId="175" fontId="42" fillId="28" borderId="127" xfId="1" applyNumberFormat="1" applyFont="1" applyFill="1" applyBorder="1" applyAlignment="1" applyProtection="1">
      <alignment horizontal="center"/>
      <protection hidden="1"/>
    </xf>
    <xf numFmtId="44" fontId="42" fillId="28" borderId="127"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27" xfId="3" applyFont="1" applyFill="1" applyBorder="1" applyAlignment="1">
      <alignment horizontal="left"/>
    </xf>
    <xf numFmtId="0" fontId="60" fillId="0" borderId="0" xfId="10" applyFont="1" applyAlignment="1">
      <alignment vertical="center" wrapText="1"/>
    </xf>
    <xf numFmtId="0" fontId="129" fillId="0" borderId="0" xfId="0" applyFont="1" applyAlignment="1">
      <alignment horizontal="justify" vertical="center"/>
    </xf>
    <xf numFmtId="0" fontId="132" fillId="0" borderId="0" xfId="0" applyFont="1" applyAlignment="1">
      <alignment vertical="center"/>
    </xf>
    <xf numFmtId="0" fontId="134" fillId="0" borderId="0" xfId="0" applyFont="1" applyAlignment="1">
      <alignment vertical="center"/>
    </xf>
    <xf numFmtId="0" fontId="131" fillId="0" borderId="0" xfId="0" applyFont="1" applyAlignment="1">
      <alignment horizontal="justify" vertical="center"/>
    </xf>
    <xf numFmtId="0" fontId="130"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2" fillId="0" borderId="0" xfId="0" applyFont="1" applyAlignment="1">
      <alignment horizontal="left" vertical="center" indent="1"/>
    </xf>
    <xf numFmtId="0" fontId="2" fillId="0" borderId="0" xfId="0" applyFont="1" applyAlignment="1">
      <alignment horizontal="left" indent="1"/>
    </xf>
    <xf numFmtId="0" fontId="110"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4" fillId="22" borderId="96" xfId="0" applyFont="1" applyFill="1" applyBorder="1" applyAlignment="1">
      <alignment horizontal="left" vertical="center" wrapText="1"/>
    </xf>
    <xf numFmtId="0" fontId="124" fillId="22" borderId="96" xfId="0" applyFont="1" applyFill="1" applyBorder="1" applyAlignment="1" applyProtection="1">
      <alignment vertical="center"/>
      <protection hidden="1"/>
    </xf>
    <xf numFmtId="0" fontId="124"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6"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78"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8" fillId="0" borderId="0" xfId="0" applyFont="1" applyAlignment="1">
      <alignment horizontal="left" vertical="center" wrapText="1"/>
    </xf>
    <xf numFmtId="0" fontId="139" fillId="0" borderId="0" xfId="0" applyFont="1" applyAlignment="1">
      <alignment horizontal="left" vertical="center" wrapText="1"/>
    </xf>
    <xf numFmtId="0" fontId="138"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1"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1"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1" fillId="0" borderId="118" xfId="6" applyFont="1" applyBorder="1" applyProtection="1">
      <protection hidden="1"/>
    </xf>
    <xf numFmtId="0" fontId="111" fillId="0" borderId="119" xfId="6" applyFont="1" applyBorder="1" applyProtection="1">
      <protection hidden="1"/>
    </xf>
    <xf numFmtId="0" fontId="63" fillId="0" borderId="120"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1" fillId="0" borderId="0" xfId="0" applyFont="1"/>
    <xf numFmtId="0" fontId="33" fillId="0" borderId="0" xfId="0" applyFont="1"/>
    <xf numFmtId="49" fontId="105" fillId="9" borderId="76" xfId="4" applyNumberFormat="1" applyFont="1" applyFill="1" applyBorder="1" applyAlignment="1" applyProtection="1">
      <alignment horizontal="center" vertical="center"/>
    </xf>
    <xf numFmtId="0" fontId="102" fillId="0" borderId="0" xfId="0" quotePrefix="1" applyFont="1" applyAlignment="1">
      <alignment vertical="center"/>
    </xf>
    <xf numFmtId="0" fontId="100" fillId="0" borderId="0" xfId="0" applyFont="1"/>
    <xf numFmtId="49" fontId="102" fillId="15" borderId="0" xfId="4" applyNumberFormat="1" applyFont="1" applyFill="1" applyBorder="1" applyAlignment="1" applyProtection="1">
      <alignment horizontal="center" vertical="center"/>
    </xf>
    <xf numFmtId="49" fontId="107" fillId="9" borderId="76" xfId="4" applyNumberFormat="1" applyFont="1" applyFill="1" applyBorder="1" applyAlignment="1" applyProtection="1">
      <alignment horizontal="center" vertical="center" wrapText="1"/>
    </xf>
    <xf numFmtId="0" fontId="114" fillId="0" borderId="0" xfId="0" applyFont="1" applyAlignment="1">
      <alignment horizontal="right" vertical="center" wrapText="1"/>
    </xf>
    <xf numFmtId="0" fontId="100" fillId="22" borderId="0" xfId="6" applyFont="1" applyFill="1"/>
    <xf numFmtId="0" fontId="142" fillId="0" borderId="0" xfId="6" applyFont="1" applyAlignment="1" applyProtection="1">
      <alignment vertical="center"/>
      <protection hidden="1"/>
    </xf>
    <xf numFmtId="0" fontId="143" fillId="16" borderId="0" xfId="0" applyFont="1" applyFill="1"/>
    <xf numFmtId="0" fontId="144" fillId="23" borderId="107" xfId="0" applyFont="1" applyFill="1" applyBorder="1" applyAlignment="1">
      <alignment vertical="center" wrapText="1"/>
    </xf>
    <xf numFmtId="0" fontId="144"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1" xfId="0" applyFont="1" applyBorder="1"/>
    <xf numFmtId="0" fontId="143" fillId="0" borderId="0" xfId="0" applyFont="1"/>
    <xf numFmtId="0" fontId="143" fillId="9" borderId="0" xfId="0" applyFont="1" applyFill="1"/>
    <xf numFmtId="0" fontId="52" fillId="23" borderId="107"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5" fillId="9" borderId="76" xfId="0" applyNumberFormat="1" applyFont="1" applyFill="1" applyBorder="1" applyProtection="1">
      <protection locked="0"/>
    </xf>
    <xf numFmtId="3" fontId="145" fillId="9" borderId="76" xfId="0" applyNumberFormat="1" applyFont="1" applyFill="1" applyBorder="1" applyProtection="1">
      <protection locked="0"/>
    </xf>
    <xf numFmtId="0" fontId="145" fillId="0" borderId="0" xfId="0" applyFont="1" applyAlignment="1">
      <alignment horizontal="right"/>
    </xf>
    <xf numFmtId="0" fontId="145" fillId="0" borderId="0" xfId="0" applyFont="1"/>
    <xf numFmtId="0" fontId="145"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79"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7" fillId="0" borderId="25" xfId="0" applyFont="1" applyBorder="1"/>
    <xf numFmtId="0" fontId="145" fillId="0" borderId="81" xfId="0" applyFont="1" applyBorder="1"/>
    <xf numFmtId="0" fontId="33" fillId="0" borderId="0" xfId="0" applyFont="1" applyAlignment="1">
      <alignment vertical="top" wrapText="1"/>
    </xf>
    <xf numFmtId="0" fontId="13" fillId="0" borderId="127"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27" xfId="7" applyFont="1" applyBorder="1" applyAlignment="1" applyProtection="1">
      <alignment horizontal="left" vertical="center" wrapText="1"/>
      <protection hidden="1"/>
    </xf>
    <xf numFmtId="0" fontId="92" fillId="0" borderId="127"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0" fillId="9" borderId="76"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39"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6" fillId="0" borderId="0" xfId="0" applyFont="1" applyAlignment="1">
      <alignment vertical="center"/>
    </xf>
    <xf numFmtId="0" fontId="102" fillId="0" borderId="0" xfId="0" applyFont="1" applyAlignment="1">
      <alignment horizontal="right" vertical="center"/>
    </xf>
    <xf numFmtId="0" fontId="102" fillId="0" borderId="0" xfId="0" applyFont="1" applyAlignment="1">
      <alignment horizontal="left" vertical="center"/>
    </xf>
    <xf numFmtId="44" fontId="42" fillId="0" borderId="127" xfId="3" applyFont="1" applyBorder="1"/>
    <xf numFmtId="0" fontId="148" fillId="0" borderId="0" xfId="0" applyFont="1" applyAlignment="1">
      <alignment horizontal="left" vertical="center"/>
    </xf>
    <xf numFmtId="0" fontId="98" fillId="22" borderId="92"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0" fillId="0" borderId="0" xfId="0" applyFont="1" applyAlignment="1">
      <alignment horizontal="left"/>
    </xf>
    <xf numFmtId="0" fontId="151" fillId="0" borderId="0" xfId="0" applyFont="1" applyAlignment="1">
      <alignment wrapText="1"/>
    </xf>
    <xf numFmtId="1" fontId="42" fillId="31" borderId="0" xfId="0" applyNumberFormat="1" applyFont="1" applyFill="1" applyAlignment="1">
      <alignment horizontal="left"/>
    </xf>
    <xf numFmtId="0" fontId="15" fillId="22" borderId="107" xfId="0" applyFont="1" applyFill="1" applyBorder="1" applyAlignment="1">
      <alignment vertical="center" wrapText="1"/>
    </xf>
    <xf numFmtId="0" fontId="15" fillId="23" borderId="159"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0" xfId="6" applyFont="1" applyBorder="1" applyProtection="1">
      <protection hidden="1"/>
    </xf>
    <xf numFmtId="0" fontId="85" fillId="0" borderId="2" xfId="6" applyFont="1" applyBorder="1" applyProtection="1">
      <protection hidden="1"/>
    </xf>
    <xf numFmtId="0" fontId="85" fillId="0" borderId="74" xfId="6" applyFont="1" applyBorder="1" applyProtection="1">
      <protection hidden="1"/>
    </xf>
    <xf numFmtId="0" fontId="85" fillId="0" borderId="3" xfId="6" applyFont="1" applyBorder="1" applyProtection="1">
      <protection hidden="1"/>
    </xf>
    <xf numFmtId="0" fontId="150" fillId="0" borderId="0" xfId="0" applyFont="1"/>
    <xf numFmtId="172" fontId="12" fillId="0" borderId="0" xfId="0" applyNumberFormat="1" applyFont="1"/>
    <xf numFmtId="0" fontId="42" fillId="0" borderId="127" xfId="0" applyFont="1" applyBorder="1"/>
    <xf numFmtId="0" fontId="36" fillId="0" borderId="127" xfId="0" applyFont="1" applyBorder="1" applyProtection="1">
      <protection hidden="1"/>
    </xf>
    <xf numFmtId="0" fontId="42" fillId="0" borderId="0" xfId="0" applyFont="1" applyAlignment="1">
      <alignment horizontal="right" vertical="center"/>
    </xf>
    <xf numFmtId="0" fontId="155" fillId="0" borderId="0" xfId="0" applyFont="1" applyAlignment="1">
      <alignment vertical="center"/>
    </xf>
    <xf numFmtId="0" fontId="156" fillId="0" borderId="0" xfId="0" applyFont="1" applyAlignment="1">
      <alignment horizontal="right" vertical="center"/>
    </xf>
    <xf numFmtId="0" fontId="155"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57" fillId="0" borderId="86" xfId="4" applyFont="1" applyFill="1" applyBorder="1" applyAlignment="1" applyProtection="1">
      <alignment horizontal="center" vertical="center" wrapText="1" shrinkToFit="1"/>
    </xf>
    <xf numFmtId="0" fontId="124" fillId="22" borderId="0" xfId="0" applyFont="1" applyFill="1" applyAlignment="1">
      <alignment horizontal="left" vertical="center" wrapText="1"/>
    </xf>
    <xf numFmtId="173" fontId="71" fillId="0" borderId="87" xfId="1" applyNumberFormat="1" applyFont="1" applyBorder="1" applyAlignment="1">
      <alignment horizontal="center" vertical="center" wrapText="1" shrinkToFit="1"/>
    </xf>
    <xf numFmtId="173" fontId="71" fillId="0" borderId="74" xfId="1" applyNumberFormat="1" applyFont="1" applyFill="1" applyBorder="1" applyAlignment="1" applyProtection="1">
      <alignment horizontal="center" vertical="center" wrapText="1" shrinkToFit="1"/>
    </xf>
    <xf numFmtId="0" fontId="124" fillId="22" borderId="96" xfId="0" applyFont="1" applyFill="1" applyBorder="1" applyAlignment="1" applyProtection="1">
      <alignment horizontal="right" vertical="center"/>
      <protection hidden="1"/>
    </xf>
    <xf numFmtId="0" fontId="59" fillId="0" borderId="118" xfId="0" applyFont="1" applyBorder="1" applyAlignment="1">
      <alignment horizontal="center" vertical="center"/>
    </xf>
    <xf numFmtId="0" fontId="39" fillId="0" borderId="0" xfId="0" applyFont="1" applyAlignment="1">
      <alignment vertical="center" wrapText="1"/>
    </xf>
    <xf numFmtId="168" fontId="159" fillId="0" borderId="89" xfId="0" applyNumberFormat="1" applyFont="1" applyBorder="1" applyAlignment="1">
      <alignment wrapText="1"/>
    </xf>
    <xf numFmtId="173" fontId="71" fillId="0" borderId="120" xfId="1" applyNumberFormat="1" applyFont="1" applyFill="1" applyBorder="1" applyAlignment="1" applyProtection="1">
      <alignment horizontal="center" vertical="center" wrapText="1" shrinkToFit="1"/>
    </xf>
    <xf numFmtId="168" fontId="51" fillId="0" borderId="6" xfId="0" applyNumberFormat="1" applyFont="1" applyBorder="1" applyAlignment="1">
      <alignment wrapText="1"/>
    </xf>
    <xf numFmtId="0" fontId="3" fillId="0" borderId="0" xfId="4" applyAlignment="1" applyProtection="1">
      <alignment horizontal="center"/>
    </xf>
    <xf numFmtId="0" fontId="2" fillId="0" borderId="86" xfId="0" applyFont="1" applyBorder="1"/>
    <xf numFmtId="0" fontId="2" fillId="0" borderId="2" xfId="0" applyFont="1" applyBorder="1"/>
    <xf numFmtId="0" fontId="2" fillId="0" borderId="93" xfId="0" applyFont="1" applyBorder="1" applyAlignment="1">
      <alignment horizontal="center" vertical="center" wrapText="1" shrinkToFit="1"/>
    </xf>
    <xf numFmtId="0" fontId="2" fillId="0" borderId="87" xfId="0" applyFont="1" applyBorder="1" applyAlignment="1">
      <alignment horizontal="center" vertical="center" wrapText="1" shrinkToFit="1"/>
    </xf>
    <xf numFmtId="0" fontId="27" fillId="0" borderId="146" xfId="0" applyFont="1" applyBorder="1"/>
    <xf numFmtId="0" fontId="2" fillId="0" borderId="91" xfId="0" applyFont="1" applyBorder="1" applyAlignment="1">
      <alignment horizontal="center" vertical="center" wrapText="1" shrinkToFit="1"/>
    </xf>
    <xf numFmtId="168" fontId="2" fillId="0" borderId="127" xfId="0" applyNumberFormat="1" applyFont="1" applyBorder="1" applyProtection="1">
      <protection locked="0"/>
    </xf>
    <xf numFmtId="0" fontId="161" fillId="22" borderId="0" xfId="0" applyFont="1" applyFill="1" applyAlignment="1">
      <alignment horizontal="left" vertical="center" wrapText="1"/>
    </xf>
    <xf numFmtId="0" fontId="160" fillId="22" borderId="0" xfId="0" applyFont="1" applyFill="1" applyAlignment="1">
      <alignment horizontal="right" vertical="center"/>
    </xf>
    <xf numFmtId="173" fontId="159" fillId="0" borderId="86" xfId="1" applyNumberFormat="1" applyFont="1" applyFill="1" applyBorder="1" applyAlignment="1" applyProtection="1">
      <alignment horizontal="center" vertical="center" wrapText="1" shrinkToFit="1"/>
    </xf>
    <xf numFmtId="172" fontId="159" fillId="0" borderId="86" xfId="1" applyNumberFormat="1" applyFont="1" applyFill="1" applyBorder="1" applyAlignment="1" applyProtection="1">
      <alignment horizontal="center" vertical="center" wrapText="1" shrinkToFit="1"/>
    </xf>
    <xf numFmtId="168" fontId="162" fillId="0" borderId="0" xfId="0" quotePrefix="1" applyNumberFormat="1" applyFont="1" applyAlignment="1">
      <alignment horizontal="center" vertical="center"/>
    </xf>
    <xf numFmtId="0" fontId="25" fillId="0" borderId="0" xfId="0" applyFont="1" applyAlignment="1">
      <alignment horizontal="right"/>
    </xf>
    <xf numFmtId="0" fontId="160" fillId="22" borderId="0" xfId="0" applyFont="1" applyFill="1" applyAlignment="1">
      <alignment horizontal="left" vertical="center"/>
    </xf>
    <xf numFmtId="168" fontId="162" fillId="0" borderId="86" xfId="1" quotePrefix="1" applyNumberFormat="1" applyFont="1" applyFill="1" applyBorder="1" applyAlignment="1" applyProtection="1">
      <alignment horizontal="center"/>
    </xf>
    <xf numFmtId="168" fontId="162" fillId="0" borderId="42" xfId="0" quotePrefix="1" applyNumberFormat="1" applyFont="1" applyBorder="1" applyAlignment="1">
      <alignment horizontal="center" vertical="center"/>
    </xf>
    <xf numFmtId="168" fontId="162" fillId="0" borderId="0" xfId="0" quotePrefix="1" applyNumberFormat="1" applyFont="1" applyAlignment="1">
      <alignment horizontal="center"/>
    </xf>
    <xf numFmtId="168" fontId="162" fillId="0" borderId="0" xfId="0" applyNumberFormat="1" applyFont="1" applyAlignment="1">
      <alignment horizontal="center" vertical="center"/>
    </xf>
    <xf numFmtId="168" fontId="162" fillId="0" borderId="6" xfId="0" applyNumberFormat="1" applyFont="1" applyBorder="1" applyAlignment="1">
      <alignment horizontal="center" vertical="center"/>
    </xf>
    <xf numFmtId="168" fontId="162" fillId="0" borderId="3" xfId="0" applyNumberFormat="1" applyFont="1" applyBorder="1" applyAlignment="1">
      <alignment horizontal="right" wrapText="1"/>
    </xf>
    <xf numFmtId="168" fontId="162" fillId="0" borderId="2" xfId="0" applyNumberFormat="1" applyFont="1" applyBorder="1" applyAlignment="1">
      <alignment horizontal="right" wrapText="1"/>
    </xf>
    <xf numFmtId="168" fontId="164" fillId="0" borderId="87" xfId="0" applyNumberFormat="1" applyFont="1" applyBorder="1" applyAlignment="1">
      <alignment horizontal="center" vertical="center" wrapText="1" shrinkToFit="1"/>
    </xf>
    <xf numFmtId="168" fontId="164" fillId="0" borderId="103" xfId="0" applyNumberFormat="1" applyFont="1" applyBorder="1" applyAlignment="1">
      <alignment horizontal="center" vertical="center"/>
    </xf>
    <xf numFmtId="0" fontId="27" fillId="0" borderId="92" xfId="4" applyFont="1" applyFill="1" applyBorder="1" applyAlignment="1" applyProtection="1">
      <alignment horizontal="center" vertical="center" wrapText="1" shrinkToFit="1"/>
    </xf>
    <xf numFmtId="173" fontId="71" fillId="0" borderId="6" xfId="1" applyNumberFormat="1" applyFont="1" applyFill="1" applyBorder="1" applyAlignment="1" applyProtection="1">
      <alignment horizontal="center" vertical="center" wrapText="1" shrinkToFit="1"/>
    </xf>
    <xf numFmtId="0" fontId="3" fillId="0" borderId="0" xfId="4" applyFill="1" applyBorder="1" applyAlignment="1" applyProtection="1">
      <alignment horizontal="center" vertical="center" wrapText="1" shrinkToFit="1"/>
    </xf>
    <xf numFmtId="173" fontId="71" fillId="0" borderId="166" xfId="1" applyNumberFormat="1" applyFont="1" applyFill="1" applyBorder="1" applyAlignment="1" applyProtection="1">
      <alignment horizontal="center" vertical="center" wrapText="1" shrinkToFit="1"/>
    </xf>
    <xf numFmtId="0" fontId="3" fillId="0" borderId="120" xfId="4" applyFill="1" applyBorder="1" applyAlignment="1" applyProtection="1">
      <alignment horizontal="center" vertical="center" wrapText="1" shrinkToFit="1"/>
    </xf>
    <xf numFmtId="173" fontId="71" fillId="0" borderId="164" xfId="1" applyNumberFormat="1" applyFont="1" applyFill="1" applyBorder="1" applyAlignment="1" applyProtection="1">
      <alignment horizontal="center" vertical="center" wrapText="1" shrinkToFit="1"/>
    </xf>
    <xf numFmtId="0" fontId="17" fillId="0" borderId="0" xfId="0" applyFont="1" applyAlignment="1">
      <alignment horizontal="center" vertical="center" wrapText="1"/>
    </xf>
    <xf numFmtId="0" fontId="3" fillId="0" borderId="92" xfId="4" applyFill="1" applyBorder="1" applyAlignment="1" applyProtection="1">
      <alignment horizontal="center" vertical="center" wrapText="1" shrinkToFit="1"/>
    </xf>
    <xf numFmtId="0" fontId="157" fillId="0" borderId="2" xfId="4" applyFont="1" applyFill="1" applyBorder="1" applyAlignment="1" applyProtection="1">
      <alignment horizontal="center" vertical="center" wrapText="1" shrinkToFit="1"/>
    </xf>
    <xf numFmtId="0" fontId="157" fillId="0" borderId="6" xfId="4" applyFont="1" applyFill="1" applyBorder="1" applyAlignment="1" applyProtection="1">
      <alignment horizontal="center" vertical="center" wrapText="1" shrinkToFit="1"/>
    </xf>
    <xf numFmtId="0" fontId="157" fillId="0" borderId="7" xfId="4" applyFont="1" applyFill="1" applyBorder="1" applyAlignment="1" applyProtection="1">
      <alignment horizontal="center" vertical="center" wrapText="1" shrinkToFit="1"/>
    </xf>
    <xf numFmtId="168" fontId="48" fillId="0" borderId="74" xfId="0" applyNumberFormat="1" applyFont="1" applyBorder="1" applyAlignment="1">
      <alignment wrapText="1"/>
    </xf>
    <xf numFmtId="0" fontId="157" fillId="0" borderId="167" xfId="4" applyFont="1" applyFill="1" applyBorder="1" applyAlignment="1" applyProtection="1">
      <alignment horizontal="center" vertical="center" wrapText="1" shrinkToFit="1"/>
    </xf>
    <xf numFmtId="0" fontId="157" fillId="0" borderId="168" xfId="4" applyFont="1" applyFill="1" applyBorder="1" applyAlignment="1" applyProtection="1">
      <alignment horizontal="center" vertical="center" wrapText="1" shrinkToFit="1"/>
    </xf>
    <xf numFmtId="0" fontId="166" fillId="0" borderId="0" xfId="4" applyFont="1" applyAlignment="1" applyProtection="1">
      <alignment horizontal="right"/>
    </xf>
    <xf numFmtId="0" fontId="167" fillId="22" borderId="107" xfId="0" applyFont="1" applyFill="1" applyBorder="1" applyAlignment="1">
      <alignment vertical="center" wrapText="1"/>
    </xf>
    <xf numFmtId="0" fontId="167" fillId="22" borderId="108" xfId="0" applyFont="1" applyFill="1" applyBorder="1" applyAlignment="1">
      <alignment vertical="center" wrapText="1"/>
    </xf>
    <xf numFmtId="0" fontId="168" fillId="0" borderId="0" xfId="0" applyFont="1"/>
    <xf numFmtId="3" fontId="2" fillId="21" borderId="76" xfId="0" applyNumberFormat="1" applyFont="1" applyFill="1" applyBorder="1" applyProtection="1">
      <protection locked="0"/>
    </xf>
    <xf numFmtId="0" fontId="169" fillId="0" borderId="0" xfId="0" applyFont="1" applyAlignment="1">
      <alignment horizontal="center"/>
    </xf>
    <xf numFmtId="168" fontId="2" fillId="0" borderId="127" xfId="0" applyNumberFormat="1" applyFont="1" applyBorder="1" applyProtection="1">
      <protection hidden="1"/>
    </xf>
    <xf numFmtId="0" fontId="170" fillId="22" borderId="106" xfId="0" applyFont="1" applyFill="1" applyBorder="1" applyAlignment="1">
      <alignment vertical="center" wrapText="1"/>
    </xf>
    <xf numFmtId="0" fontId="170" fillId="22" borderId="107" xfId="0" applyFont="1" applyFill="1" applyBorder="1" applyAlignment="1">
      <alignment vertical="center" wrapText="1"/>
    </xf>
    <xf numFmtId="0" fontId="69" fillId="0" borderId="0" xfId="0" applyFont="1" applyAlignment="1">
      <alignment horizontal="center"/>
    </xf>
    <xf numFmtId="0" fontId="65" fillId="0" borderId="0" xfId="0" applyFont="1" applyAlignment="1">
      <alignment horizontal="right"/>
    </xf>
    <xf numFmtId="0" fontId="17" fillId="0" borderId="165" xfId="0" applyFont="1" applyBorder="1" applyAlignment="1" applyProtection="1">
      <alignment vertical="center"/>
      <protection locked="0"/>
    </xf>
    <xf numFmtId="168" fontId="2" fillId="0" borderId="0" xfId="0" applyNumberFormat="1" applyFont="1" applyAlignment="1">
      <alignment vertical="center"/>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66" fillId="0" borderId="0" xfId="4" applyFont="1" applyFill="1" applyBorder="1" applyAlignment="1" applyProtection="1">
      <alignment horizontal="right"/>
    </xf>
    <xf numFmtId="3" fontId="2" fillId="19" borderId="0" xfId="0" applyNumberFormat="1" applyFont="1" applyFill="1"/>
    <xf numFmtId="0" fontId="2" fillId="0" borderId="40" xfId="0" applyFont="1" applyBorder="1" applyAlignment="1">
      <alignment horizontal="center" vertical="center"/>
    </xf>
    <xf numFmtId="0" fontId="0" fillId="0" borderId="169" xfId="0" applyBorder="1" applyAlignment="1">
      <alignment horizontal="center" vertical="center"/>
    </xf>
    <xf numFmtId="0" fontId="0" fillId="0" borderId="6" xfId="0" applyBorder="1" applyAlignment="1">
      <alignment horizontal="center" vertical="center"/>
    </xf>
    <xf numFmtId="0" fontId="0" fillId="0" borderId="127" xfId="0" applyBorder="1" applyAlignment="1">
      <alignment horizontal="center" vertical="center"/>
    </xf>
    <xf numFmtId="0" fontId="2" fillId="0" borderId="127" xfId="0" applyFont="1" applyBorder="1" applyAlignment="1">
      <alignment horizontal="center" vertical="center"/>
    </xf>
    <xf numFmtId="168" fontId="2" fillId="0" borderId="0" xfId="0" applyNumberFormat="1" applyFont="1" applyProtection="1">
      <protection hidden="1"/>
    </xf>
    <xf numFmtId="0" fontId="3" fillId="0" borderId="0" xfId="4" applyBorder="1" applyAlignment="1" applyProtection="1">
      <alignment horizontal="left" vertical="center"/>
    </xf>
    <xf numFmtId="0" fontId="170" fillId="22" borderId="107" xfId="0" applyFont="1" applyFill="1" applyBorder="1" applyAlignment="1">
      <alignment horizontal="center" vertical="center" wrapText="1"/>
    </xf>
    <xf numFmtId="0" fontId="65" fillId="0" borderId="0" xfId="0" applyFont="1" applyAlignment="1">
      <alignment horizontal="justify" vertical="center"/>
    </xf>
    <xf numFmtId="0" fontId="65" fillId="0" borderId="0" xfId="0" applyFont="1" applyAlignment="1">
      <alignment vertical="center"/>
    </xf>
    <xf numFmtId="0" fontId="174" fillId="0" borderId="0" xfId="0" applyFont="1" applyAlignment="1">
      <alignment horizontal="justify" vertical="center"/>
    </xf>
    <xf numFmtId="4" fontId="2" fillId="19" borderId="0" xfId="0" applyNumberFormat="1" applyFont="1" applyFill="1"/>
    <xf numFmtId="0" fontId="2" fillId="0" borderId="0" xfId="12" applyFont="1" applyAlignment="1">
      <alignment horizontal="center"/>
    </xf>
    <xf numFmtId="0" fontId="116" fillId="0" borderId="0" xfId="4" applyFont="1" applyFill="1" applyBorder="1" applyAlignment="1" applyProtection="1">
      <alignment horizontal="left" vertical="center"/>
    </xf>
    <xf numFmtId="49" fontId="2" fillId="9" borderId="97" xfId="0" applyNumberFormat="1" applyFont="1" applyFill="1" applyBorder="1" applyAlignment="1" applyProtection="1">
      <alignment horizontal="left" vertical="center"/>
      <protection locked="0"/>
    </xf>
    <xf numFmtId="49" fontId="2" fillId="9" borderId="104" xfId="0" applyNumberFormat="1" applyFont="1" applyFill="1" applyBorder="1" applyAlignment="1" applyProtection="1">
      <alignment horizontal="left" vertical="center"/>
      <protection locked="0"/>
    </xf>
    <xf numFmtId="49" fontId="2" fillId="9" borderId="105" xfId="0" applyNumberFormat="1" applyFont="1" applyFill="1" applyBorder="1" applyAlignment="1" applyProtection="1">
      <alignment horizontal="left" vertical="center"/>
      <protection locked="0"/>
    </xf>
    <xf numFmtId="0" fontId="110" fillId="0" borderId="0" xfId="12" applyFont="1" applyAlignment="1">
      <alignment horizontal="center" vertical="center" wrapText="1"/>
    </xf>
    <xf numFmtId="173" fontId="2" fillId="9" borderId="149" xfId="1" applyNumberFormat="1" applyFont="1" applyFill="1" applyBorder="1" applyAlignment="1" applyProtection="1">
      <alignment horizontal="left" vertical="center"/>
      <protection locked="0"/>
    </xf>
    <xf numFmtId="173" fontId="2" fillId="9" borderId="104" xfId="1" applyNumberFormat="1" applyFont="1" applyFill="1" applyBorder="1" applyAlignment="1" applyProtection="1">
      <alignment horizontal="left" vertical="center"/>
      <protection locked="0"/>
    </xf>
    <xf numFmtId="173" fontId="2" fillId="9" borderId="105" xfId="1" applyNumberFormat="1" applyFont="1" applyFill="1" applyBorder="1" applyAlignment="1" applyProtection="1">
      <alignment horizontal="left" vertical="center"/>
      <protection locked="0"/>
    </xf>
    <xf numFmtId="0" fontId="110" fillId="0" borderId="0" xfId="12" applyFont="1" applyAlignment="1">
      <alignment horizontal="center" vertical="center"/>
    </xf>
    <xf numFmtId="0" fontId="110" fillId="0" borderId="0" xfId="12" applyFont="1" applyAlignment="1">
      <alignment horizontal="right" vertical="center" wrapText="1" indent="1"/>
    </xf>
    <xf numFmtId="10" fontId="2" fillId="9" borderId="135" xfId="14" applyNumberFormat="1" applyFont="1" applyFill="1" applyBorder="1" applyAlignment="1" applyProtection="1">
      <alignment horizontal="center" vertical="center"/>
    </xf>
    <xf numFmtId="0" fontId="110" fillId="9" borderId="124" xfId="12" applyFont="1" applyFill="1" applyBorder="1" applyAlignment="1">
      <alignment horizontal="center"/>
    </xf>
    <xf numFmtId="0" fontId="110" fillId="9" borderId="125" xfId="12" applyFont="1" applyFill="1" applyBorder="1" applyAlignment="1">
      <alignment horizontal="center"/>
    </xf>
    <xf numFmtId="0" fontId="110" fillId="9" borderId="126" xfId="12" applyFont="1" applyFill="1" applyBorder="1" applyAlignment="1">
      <alignment horizontal="center"/>
    </xf>
    <xf numFmtId="0" fontId="17" fillId="19" borderId="0" xfId="12" applyFont="1" applyFill="1" applyAlignment="1">
      <alignment horizontal="center" vertical="center"/>
    </xf>
    <xf numFmtId="0" fontId="110" fillId="0" borderId="0" xfId="15" applyFont="1" applyAlignment="1">
      <alignment horizontal="right" vertical="center" wrapText="1" indent="1"/>
    </xf>
    <xf numFmtId="10" fontId="2" fillId="0" borderId="153" xfId="12" applyNumberFormat="1" applyFont="1" applyBorder="1" applyAlignment="1">
      <alignment horizontal="center"/>
    </xf>
    <xf numFmtId="10" fontId="2" fillId="0" borderId="154" xfId="12" applyNumberFormat="1" applyFont="1" applyBorder="1" applyAlignment="1">
      <alignment horizontal="center"/>
    </xf>
    <xf numFmtId="10" fontId="2" fillId="0" borderId="155" xfId="12" applyNumberFormat="1" applyFont="1" applyBorder="1" applyAlignment="1">
      <alignment horizontal="center"/>
    </xf>
    <xf numFmtId="0" fontId="2" fillId="9" borderId="135" xfId="11" quotePrefix="1" applyNumberFormat="1" applyFont="1" applyFill="1" applyBorder="1" applyAlignment="1" applyProtection="1">
      <alignment horizontal="center" vertical="center"/>
    </xf>
    <xf numFmtId="0" fontId="2" fillId="9" borderId="135" xfId="11" applyNumberFormat="1" applyFont="1" applyFill="1" applyBorder="1" applyAlignment="1" applyProtection="1">
      <alignment horizontal="center" vertical="center"/>
    </xf>
    <xf numFmtId="0" fontId="2" fillId="9" borderId="97" xfId="13" applyFont="1" applyFill="1" applyBorder="1" applyAlignment="1" applyProtection="1">
      <alignment horizontal="center" vertical="center" wrapText="1"/>
      <protection locked="0"/>
    </xf>
    <xf numFmtId="0" fontId="2" fillId="9" borderId="104" xfId="13" applyFont="1" applyFill="1" applyBorder="1" applyAlignment="1" applyProtection="1">
      <alignment horizontal="center" vertical="center" wrapText="1"/>
      <protection locked="0"/>
    </xf>
    <xf numFmtId="0" fontId="2" fillId="9" borderId="105" xfId="13" applyFont="1" applyFill="1" applyBorder="1" applyAlignment="1" applyProtection="1">
      <alignment horizontal="center" vertical="center" wrapText="1"/>
      <protection locked="0"/>
    </xf>
    <xf numFmtId="0" fontId="29" fillId="0" borderId="78"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0" fillId="0" borderId="0" xfId="12" applyFont="1" applyAlignment="1">
      <alignment horizontal="left" vertical="center" wrapText="1"/>
    </xf>
    <xf numFmtId="0" fontId="110" fillId="0" borderId="0" xfId="12" applyFont="1" applyAlignment="1">
      <alignment vertical="center" wrapText="1"/>
    </xf>
    <xf numFmtId="49" fontId="2" fillId="9" borderId="150" xfId="0" applyNumberFormat="1" applyFont="1" applyFill="1" applyBorder="1" applyAlignment="1" applyProtection="1">
      <alignment horizontal="left" vertical="center"/>
      <protection locked="0"/>
    </xf>
    <xf numFmtId="49" fontId="2" fillId="9" borderId="128" xfId="0" applyNumberFormat="1" applyFont="1" applyFill="1" applyBorder="1" applyAlignment="1" applyProtection="1">
      <alignment horizontal="left" vertical="center"/>
      <protection locked="0"/>
    </xf>
    <xf numFmtId="49" fontId="2" fillId="9" borderId="151"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37" xfId="0" applyNumberFormat="1" applyFont="1" applyFill="1" applyBorder="1" applyAlignment="1" applyProtection="1">
      <alignment horizontal="left" vertical="center"/>
      <protection locked="0"/>
    </xf>
    <xf numFmtId="0" fontId="12" fillId="0" borderId="152" xfId="0" applyFont="1" applyBorder="1" applyAlignment="1" applyProtection="1">
      <alignment horizontal="center"/>
      <protection locked="0"/>
    </xf>
    <xf numFmtId="0" fontId="12" fillId="0" borderId="128" xfId="0" applyFont="1" applyBorder="1" applyAlignment="1" applyProtection="1">
      <alignment horizontal="center"/>
      <protection locked="0"/>
    </xf>
    <xf numFmtId="0" fontId="47" fillId="22" borderId="106" xfId="0" quotePrefix="1" applyFont="1" applyFill="1" applyBorder="1" applyAlignment="1">
      <alignment horizontal="center" vertical="top" wrapText="1"/>
    </xf>
    <xf numFmtId="0" fontId="47" fillId="22" borderId="107" xfId="0" quotePrefix="1" applyFont="1" applyFill="1" applyBorder="1" applyAlignment="1">
      <alignment horizontal="center" vertical="top" wrapText="1"/>
    </xf>
    <xf numFmtId="0" fontId="47" fillId="22" borderId="107" xfId="0" applyFont="1" applyFill="1" applyBorder="1" applyAlignment="1">
      <alignment horizontal="center" vertical="top" wrapText="1"/>
    </xf>
    <xf numFmtId="0" fontId="47" fillId="22" borderId="108" xfId="0" applyFont="1" applyFill="1" applyBorder="1" applyAlignment="1">
      <alignment horizontal="center" vertical="top" wrapText="1"/>
    </xf>
    <xf numFmtId="0" fontId="23" fillId="0" borderId="0" xfId="0" applyFont="1" applyAlignment="1">
      <alignment horizontal="center" vertical="center"/>
    </xf>
    <xf numFmtId="0" fontId="2" fillId="9" borderId="97" xfId="0" applyFont="1" applyFill="1" applyBorder="1" applyAlignment="1" applyProtection="1">
      <alignment horizontal="left" vertical="center"/>
      <protection locked="0"/>
    </xf>
    <xf numFmtId="0" fontId="2" fillId="9" borderId="104" xfId="0" applyFont="1" applyFill="1" applyBorder="1" applyAlignment="1" applyProtection="1">
      <alignment horizontal="left" vertical="center"/>
      <protection locked="0"/>
    </xf>
    <xf numFmtId="0" fontId="2" fillId="9" borderId="105" xfId="0" applyFont="1" applyFill="1" applyBorder="1" applyAlignment="1" applyProtection="1">
      <alignment horizontal="left" vertical="center"/>
      <protection locked="0"/>
    </xf>
    <xf numFmtId="0" fontId="2" fillId="9" borderId="97" xfId="4" applyFont="1" applyFill="1" applyBorder="1" applyAlignment="1" applyProtection="1">
      <alignment horizontal="left" vertical="center"/>
      <protection locked="0"/>
    </xf>
    <xf numFmtId="0" fontId="2" fillId="9" borderId="104" xfId="4" applyFont="1" applyFill="1" applyBorder="1" applyAlignment="1" applyProtection="1">
      <alignment horizontal="left" vertical="center"/>
      <protection locked="0"/>
    </xf>
    <xf numFmtId="0" fontId="2" fillId="9" borderId="105"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79" xfId="0" applyFont="1" applyBorder="1" applyAlignment="1">
      <alignment horizont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0" borderId="79" xfId="0" applyFont="1" applyBorder="1" applyAlignment="1">
      <alignment horizontal="center" vertical="center" wrapText="1"/>
    </xf>
    <xf numFmtId="0" fontId="29" fillId="0" borderId="78"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4" xfId="0" applyNumberFormat="1" applyFont="1" applyFill="1" applyBorder="1" applyAlignment="1" applyProtection="1">
      <alignment horizontal="left" vertical="center"/>
      <protection locked="0"/>
    </xf>
    <xf numFmtId="1" fontId="2" fillId="9" borderId="105" xfId="0" applyNumberFormat="1" applyFont="1" applyFill="1" applyBorder="1" applyAlignment="1" applyProtection="1">
      <alignment horizontal="left" vertical="center"/>
      <protection locked="0"/>
    </xf>
    <xf numFmtId="1" fontId="2" fillId="9" borderId="97" xfId="0" applyNumberFormat="1" applyFont="1" applyFill="1" applyBorder="1" applyAlignment="1" applyProtection="1">
      <alignment horizontal="left" vertical="center"/>
      <protection locked="0"/>
    </xf>
    <xf numFmtId="1" fontId="2" fillId="9" borderId="137" xfId="0" applyNumberFormat="1" applyFont="1" applyFill="1" applyBorder="1" applyAlignment="1" applyProtection="1">
      <alignment horizontal="left" vertical="center"/>
      <protection locked="0"/>
    </xf>
    <xf numFmtId="0" fontId="102" fillId="0" borderId="0" xfId="0" applyFont="1" applyProtection="1">
      <protection locked="0"/>
    </xf>
    <xf numFmtId="0" fontId="2" fillId="9" borderId="143" xfId="0"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12" fillId="9" borderId="124" xfId="0" applyFont="1" applyFill="1" applyBorder="1" applyAlignment="1" applyProtection="1">
      <alignment horizontal="left" vertical="center" shrinkToFit="1"/>
      <protection locked="0"/>
    </xf>
    <xf numFmtId="0" fontId="12" fillId="9" borderId="125" xfId="0" applyFont="1" applyFill="1" applyBorder="1" applyAlignment="1" applyProtection="1">
      <alignment horizontal="left" vertical="center" shrinkToFit="1"/>
      <protection locked="0"/>
    </xf>
    <xf numFmtId="0" fontId="12" fillId="9" borderId="126" xfId="0" applyFont="1" applyFill="1" applyBorder="1" applyAlignment="1" applyProtection="1">
      <alignment horizontal="left" vertical="center" shrinkToFit="1"/>
      <protection locked="0"/>
    </xf>
    <xf numFmtId="176" fontId="2" fillId="9" borderId="97" xfId="0" applyNumberFormat="1" applyFont="1" applyFill="1" applyBorder="1" applyAlignment="1" applyProtection="1">
      <alignment horizontal="left" vertical="center"/>
      <protection locked="0"/>
    </xf>
    <xf numFmtId="176" fontId="2" fillId="9" borderId="104" xfId="0" applyNumberFormat="1" applyFont="1" applyFill="1" applyBorder="1" applyAlignment="1" applyProtection="1">
      <alignment horizontal="left" vertical="center"/>
      <protection locked="0"/>
    </xf>
    <xf numFmtId="176" fontId="2" fillId="9" borderId="105" xfId="0" applyNumberFormat="1" applyFont="1" applyFill="1" applyBorder="1" applyAlignment="1" applyProtection="1">
      <alignment horizontal="left" vertical="center"/>
      <protection locked="0"/>
    </xf>
    <xf numFmtId="0" fontId="12" fillId="9" borderId="140" xfId="0" applyFont="1" applyFill="1" applyBorder="1" applyAlignment="1" applyProtection="1">
      <alignment horizontal="left" vertical="center" wrapText="1"/>
      <protection locked="0"/>
    </xf>
    <xf numFmtId="0" fontId="12" fillId="9" borderId="141" xfId="0" applyFont="1" applyFill="1" applyBorder="1" applyAlignment="1" applyProtection="1">
      <alignment horizontal="left" vertical="center" wrapText="1"/>
      <protection locked="0"/>
    </xf>
    <xf numFmtId="0" fontId="12" fillId="9" borderId="142" xfId="0" applyFont="1" applyFill="1" applyBorder="1" applyAlignment="1" applyProtection="1">
      <alignment horizontal="left" vertical="center" wrapText="1"/>
      <protection locked="0"/>
    </xf>
    <xf numFmtId="176" fontId="2" fillId="9" borderId="109" xfId="0" applyNumberFormat="1" applyFont="1" applyFill="1" applyBorder="1" applyAlignment="1" applyProtection="1">
      <alignment horizontal="left" vertical="center"/>
      <protection locked="0"/>
    </xf>
    <xf numFmtId="176" fontId="2" fillId="9" borderId="77" xfId="0" applyNumberFormat="1" applyFont="1" applyFill="1" applyBorder="1" applyAlignment="1" applyProtection="1">
      <alignment horizontal="left" vertical="center"/>
      <protection locked="0"/>
    </xf>
    <xf numFmtId="176" fontId="2" fillId="9" borderId="130" xfId="0" applyNumberFormat="1" applyFont="1" applyFill="1" applyBorder="1" applyAlignment="1" applyProtection="1">
      <alignment horizontal="left" vertical="center"/>
      <protection locked="0"/>
    </xf>
    <xf numFmtId="0" fontId="165" fillId="0" borderId="78" xfId="4" applyFont="1" applyFill="1" applyBorder="1" applyAlignment="1" applyProtection="1">
      <alignment horizontal="right" vertical="center" wrapText="1"/>
    </xf>
    <xf numFmtId="0" fontId="165" fillId="0" borderId="0" xfId="4" applyFont="1" applyFill="1" applyBorder="1" applyAlignment="1" applyProtection="1">
      <alignment horizontal="right" vertical="center" wrapText="1"/>
    </xf>
    <xf numFmtId="49" fontId="149" fillId="9" borderId="124" xfId="4" applyNumberFormat="1" applyFont="1" applyFill="1" applyBorder="1" applyAlignment="1" applyProtection="1">
      <alignment horizontal="center" vertical="center"/>
    </xf>
    <xf numFmtId="49" fontId="149" fillId="9" borderId="126" xfId="4" applyNumberFormat="1" applyFont="1" applyFill="1" applyBorder="1" applyAlignment="1" applyProtection="1">
      <alignment horizontal="center" vertical="center"/>
    </xf>
    <xf numFmtId="0" fontId="105"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3" fillId="0" borderId="0" xfId="0" applyFont="1" applyAlignment="1">
      <alignment horizontal="right" vertical="top" wrapText="1"/>
    </xf>
    <xf numFmtId="168" fontId="102"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5" fillId="0" borderId="0" xfId="0" applyFont="1" applyAlignment="1">
      <alignment horizontal="right" vertical="center"/>
    </xf>
    <xf numFmtId="0" fontId="105"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97" xfId="0" applyNumberFormat="1" applyFont="1" applyFill="1" applyBorder="1" applyAlignment="1" applyProtection="1">
      <alignment horizontal="left" wrapText="1"/>
      <protection locked="0"/>
    </xf>
    <xf numFmtId="166" fontId="11" fillId="9" borderId="104" xfId="0" applyNumberFormat="1" applyFont="1" applyFill="1" applyBorder="1" applyAlignment="1" applyProtection="1">
      <alignment horizontal="left" wrapText="1"/>
      <protection locked="0"/>
    </xf>
    <xf numFmtId="166" fontId="11" fillId="9" borderId="137" xfId="0" applyNumberFormat="1" applyFont="1" applyFill="1" applyBorder="1" applyAlignment="1" applyProtection="1">
      <alignment horizontal="left" wrapText="1"/>
      <protection locked="0"/>
    </xf>
    <xf numFmtId="0" fontId="118" fillId="0" borderId="0" xfId="0" applyFont="1" applyAlignment="1" applyProtection="1">
      <alignment horizontal="left"/>
      <protection hidden="1"/>
    </xf>
    <xf numFmtId="166" fontId="12" fillId="9" borderId="97" xfId="0" applyNumberFormat="1" applyFont="1" applyFill="1" applyBorder="1" applyAlignment="1" applyProtection="1">
      <alignment horizontal="center"/>
      <protection locked="0"/>
    </xf>
    <xf numFmtId="166" fontId="12" fillId="9" borderId="104" xfId="0" applyNumberFormat="1" applyFont="1" applyFill="1" applyBorder="1" applyAlignment="1" applyProtection="1">
      <alignment horizontal="center"/>
      <protection locked="0"/>
    </xf>
    <xf numFmtId="166" fontId="12" fillId="9" borderId="105" xfId="0" applyNumberFormat="1" applyFont="1" applyFill="1" applyBorder="1" applyAlignment="1" applyProtection="1">
      <alignment horizontal="center"/>
      <protection locked="0"/>
    </xf>
    <xf numFmtId="0" fontId="166" fillId="0" borderId="128"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7" xfId="0" applyFont="1" applyBorder="1" applyAlignment="1" applyProtection="1">
      <alignment horizontal="left"/>
      <protection hidden="1"/>
    </xf>
    <xf numFmtId="0" fontId="2" fillId="0" borderId="139" xfId="0" applyFont="1" applyBorder="1" applyAlignment="1">
      <alignment horizontal="right" vertical="center"/>
    </xf>
    <xf numFmtId="0" fontId="2" fillId="0" borderId="0" xfId="0" applyFont="1" applyAlignment="1">
      <alignment horizontal="center" wrapText="1"/>
    </xf>
    <xf numFmtId="0" fontId="15" fillId="22" borderId="106" xfId="0" applyFont="1" applyFill="1" applyBorder="1" applyAlignment="1">
      <alignment horizontal="center" vertical="center" wrapText="1"/>
    </xf>
    <xf numFmtId="0" fontId="15" fillId="22" borderId="107" xfId="0" applyFont="1" applyFill="1" applyBorder="1" applyAlignment="1">
      <alignment horizontal="center" vertical="center" wrapText="1"/>
    </xf>
    <xf numFmtId="0" fontId="15" fillId="22" borderId="108" xfId="0" applyFont="1" applyFill="1" applyBorder="1" applyAlignment="1">
      <alignment horizontal="center" vertical="center" wrapText="1"/>
    </xf>
    <xf numFmtId="0" fontId="12" fillId="0" borderId="0" xfId="0" applyFont="1"/>
    <xf numFmtId="0" fontId="17" fillId="0" borderId="97" xfId="0" applyFont="1" applyBorder="1" applyAlignment="1" applyProtection="1">
      <alignment horizontal="left"/>
      <protection hidden="1"/>
    </xf>
    <xf numFmtId="0" fontId="17" fillId="0" borderId="104" xfId="0" applyFont="1" applyBorder="1" applyAlignment="1" applyProtection="1">
      <alignment horizontal="left"/>
      <protection hidden="1"/>
    </xf>
    <xf numFmtId="0" fontId="17" fillId="0" borderId="77" xfId="0" applyFont="1" applyBorder="1" applyAlignment="1" applyProtection="1">
      <alignment horizontal="left"/>
      <protection hidden="1"/>
    </xf>
    <xf numFmtId="0" fontId="17" fillId="0" borderId="130" xfId="0" applyFont="1" applyBorder="1" applyAlignment="1" applyProtection="1">
      <alignment horizontal="left"/>
      <protection hidden="1"/>
    </xf>
    <xf numFmtId="168" fontId="102"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79" xfId="0" applyFont="1" applyBorder="1" applyAlignment="1">
      <alignment horizontal="center" textRotation="90"/>
    </xf>
    <xf numFmtId="0" fontId="17" fillId="0" borderId="124" xfId="0" applyFont="1" applyBorder="1" applyAlignment="1" applyProtection="1">
      <alignment horizontal="center"/>
      <protection hidden="1"/>
    </xf>
    <xf numFmtId="0" fontId="17" fillId="0" borderId="125" xfId="0" applyFont="1" applyBorder="1" applyAlignment="1" applyProtection="1">
      <alignment horizontal="center"/>
      <protection hidden="1"/>
    </xf>
    <xf numFmtId="0" fontId="17" fillId="0" borderId="131" xfId="0" applyFont="1" applyBorder="1" applyAlignment="1" applyProtection="1">
      <alignment horizontal="center"/>
      <protection hidden="1"/>
    </xf>
    <xf numFmtId="0" fontId="166" fillId="0" borderId="0" xfId="4" applyFont="1" applyFill="1" applyBorder="1" applyAlignment="1" applyProtection="1">
      <alignment horizontal="center"/>
    </xf>
    <xf numFmtId="0" fontId="17" fillId="0" borderId="132" xfId="0" applyFont="1" applyBorder="1" applyAlignment="1" applyProtection="1">
      <alignment horizontal="center"/>
      <protection hidden="1"/>
    </xf>
    <xf numFmtId="0" fontId="17" fillId="0" borderId="126" xfId="0" applyFont="1" applyBorder="1" applyAlignment="1" applyProtection="1">
      <alignment horizontal="center"/>
      <protection hidden="1"/>
    </xf>
    <xf numFmtId="0" fontId="17" fillId="0" borderId="140" xfId="0" applyFont="1" applyBorder="1" applyAlignment="1" applyProtection="1">
      <alignment horizontal="center"/>
      <protection hidden="1"/>
    </xf>
    <xf numFmtId="0" fontId="17" fillId="0" borderId="141" xfId="0" applyFont="1" applyBorder="1" applyAlignment="1" applyProtection="1">
      <alignment horizontal="center"/>
      <protection hidden="1"/>
    </xf>
    <xf numFmtId="0" fontId="17" fillId="0" borderId="148" xfId="0" applyFont="1" applyBorder="1" applyAlignment="1" applyProtection="1">
      <alignment horizontal="center"/>
      <protection hidden="1"/>
    </xf>
    <xf numFmtId="0" fontId="166" fillId="0" borderId="0" xfId="4" applyFont="1" applyFill="1" applyBorder="1" applyAlignment="1" applyProtection="1">
      <alignment horizontal="right" vertical="center"/>
    </xf>
    <xf numFmtId="49" fontId="140" fillId="9" borderId="124" xfId="4" applyNumberFormat="1" applyFont="1" applyFill="1" applyBorder="1" applyAlignment="1" applyProtection="1">
      <alignment horizontal="center" vertical="center"/>
    </xf>
    <xf numFmtId="49" fontId="140" fillId="9" borderId="126"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5"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3" fillId="22" borderId="77" xfId="4" applyFont="1" applyFill="1" applyBorder="1" applyAlignment="1" applyProtection="1">
      <alignment horizontal="left" vertical="center" wrapText="1"/>
      <protection hidden="1"/>
    </xf>
    <xf numFmtId="0" fontId="103"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7"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39" fillId="0" borderId="0" xfId="0" applyFont="1" applyAlignment="1">
      <alignment horizontal="center" vertic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1" fillId="0" borderId="81" xfId="0" applyFont="1" applyBorder="1" applyAlignment="1">
      <alignment horizontal="center"/>
    </xf>
    <xf numFmtId="0" fontId="150" fillId="0" borderId="0" xfId="0" applyFont="1" applyAlignment="1">
      <alignment horizontal="center"/>
    </xf>
    <xf numFmtId="0" fontId="151" fillId="0" borderId="0" xfId="0" applyFont="1" applyAlignment="1">
      <alignment wrapText="1"/>
    </xf>
    <xf numFmtId="0" fontId="39" fillId="0" borderId="0" xfId="0" applyFont="1" applyAlignment="1">
      <alignment horizontal="center"/>
    </xf>
    <xf numFmtId="0" fontId="39" fillId="0" borderId="0" xfId="0" applyFont="1" applyAlignment="1">
      <alignment horizontal="center" vertical="center" wrapText="1"/>
    </xf>
    <xf numFmtId="38" fontId="39" fillId="19" borderId="0" xfId="1" applyNumberFormat="1" applyFont="1" applyFill="1" applyBorder="1" applyAlignment="1" applyProtection="1">
      <alignment horizontal="right"/>
      <protection hidden="1"/>
    </xf>
    <xf numFmtId="40" fontId="39" fillId="19" borderId="0" xfId="10" applyNumberFormat="1" applyFont="1" applyFill="1" applyAlignment="1" applyProtection="1">
      <alignment horizontal="right" vertical="center"/>
      <protection hidden="1"/>
    </xf>
    <xf numFmtId="0" fontId="60" fillId="0" borderId="0" xfId="10" applyFont="1" applyAlignment="1">
      <alignment horizontal="center" vertical="center" wrapText="1"/>
    </xf>
    <xf numFmtId="0" fontId="27"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2" fillId="0" borderId="0" xfId="1" applyNumberFormat="1" applyFont="1" applyFill="1" applyBorder="1" applyAlignment="1" applyProtection="1">
      <alignment horizontal="center"/>
      <protection locked="0"/>
    </xf>
    <xf numFmtId="0" fontId="135" fillId="0" borderId="0" xfId="4" applyFont="1" applyFill="1" applyBorder="1" applyAlignment="1" applyProtection="1">
      <alignment horizontal="center" vertical="center"/>
    </xf>
    <xf numFmtId="0" fontId="39" fillId="0" borderId="0" xfId="0" applyFont="1" applyAlignment="1">
      <alignment horizontal="left" vertical="center"/>
    </xf>
    <xf numFmtId="0" fontId="39" fillId="0" borderId="0" xfId="0" applyFont="1" applyAlignment="1">
      <alignment horizontal="right" vertical="center"/>
    </xf>
    <xf numFmtId="0" fontId="28" fillId="0" borderId="0" xfId="0" applyFont="1" applyAlignment="1">
      <alignment horizontal="center" vertical="center"/>
    </xf>
    <xf numFmtId="1" fontId="39" fillId="19" borderId="0" xfId="10" applyNumberFormat="1" applyFont="1" applyFill="1" applyAlignment="1" applyProtection="1">
      <alignment horizontal="center" vertical="center"/>
      <protection hidden="1"/>
    </xf>
    <xf numFmtId="49" fontId="107" fillId="9" borderId="132" xfId="4" applyNumberFormat="1" applyFont="1" applyFill="1" applyBorder="1" applyAlignment="1" applyProtection="1">
      <alignment horizontal="center" vertical="center"/>
    </xf>
    <xf numFmtId="49" fontId="107" fillId="9" borderId="125" xfId="4" applyNumberFormat="1" applyFont="1" applyFill="1" applyBorder="1" applyAlignment="1" applyProtection="1">
      <alignment horizontal="center" vertical="center"/>
    </xf>
    <xf numFmtId="49" fontId="107" fillId="9" borderId="126"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vertical="center"/>
      <protection hidden="1"/>
    </xf>
    <xf numFmtId="0" fontId="124" fillId="22" borderId="0" xfId="0" applyFont="1" applyFill="1" applyAlignment="1" applyProtection="1">
      <alignment horizontal="center" vertical="center"/>
      <protection hidden="1"/>
    </xf>
    <xf numFmtId="0" fontId="91" fillId="0" borderId="0" xfId="0" applyFont="1" applyAlignment="1" applyProtection="1">
      <alignment horizontal="center" vertical="center"/>
      <protection hidden="1"/>
    </xf>
    <xf numFmtId="0" fontId="54" fillId="0" borderId="0" xfId="0" applyFont="1" applyAlignment="1">
      <alignment horizontal="center"/>
    </xf>
    <xf numFmtId="1" fontId="39" fillId="19" borderId="0" xfId="0" applyNumberFormat="1" applyFont="1" applyFill="1" applyAlignment="1" applyProtection="1">
      <alignment horizontal="center" vertical="center"/>
      <protection hidden="1"/>
    </xf>
    <xf numFmtId="0" fontId="0" fillId="9" borderId="146"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46"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46"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6"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27"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2" fillId="9" borderId="118" xfId="0" applyFont="1" applyFill="1" applyBorder="1" applyAlignment="1" applyProtection="1">
      <alignment horizontal="left" vertical="top" wrapText="1"/>
      <protection locked="0"/>
    </xf>
    <xf numFmtId="0" fontId="0" fillId="9" borderId="119" xfId="0" applyFill="1" applyBorder="1" applyAlignment="1" applyProtection="1">
      <alignment horizontal="left" vertical="top" wrapText="1"/>
      <protection locked="0"/>
    </xf>
    <xf numFmtId="0" fontId="0" fillId="9" borderId="120" xfId="0" applyFill="1" applyBorder="1" applyAlignment="1" applyProtection="1">
      <alignment horizontal="left" vertical="top" wrapText="1"/>
      <protection locked="0"/>
    </xf>
    <xf numFmtId="0" fontId="0" fillId="9" borderId="2" xfId="0" applyFill="1" applyBorder="1" applyAlignment="1" applyProtection="1">
      <alignment horizontal="left" vertical="top" wrapText="1"/>
      <protection locked="0"/>
    </xf>
    <xf numFmtId="0" fontId="0" fillId="9" borderId="74" xfId="0" applyFill="1" applyBorder="1" applyAlignment="1" applyProtection="1">
      <alignment horizontal="left" vertical="top" wrapText="1"/>
      <protection locked="0"/>
    </xf>
    <xf numFmtId="0" fontId="0" fillId="9" borderId="3" xfId="0" applyFill="1" applyBorder="1" applyAlignment="1" applyProtection="1">
      <alignment horizontal="left" vertical="top" wrapText="1"/>
      <protection locked="0"/>
    </xf>
    <xf numFmtId="49" fontId="163" fillId="9" borderId="132" xfId="4" applyNumberFormat="1" applyFont="1" applyFill="1" applyBorder="1" applyAlignment="1" applyProtection="1">
      <alignment horizontal="center" vertical="center" wrapText="1"/>
    </xf>
    <xf numFmtId="49" fontId="163" fillId="9" borderId="125" xfId="4" applyNumberFormat="1" applyFont="1" applyFill="1" applyBorder="1" applyAlignment="1" applyProtection="1">
      <alignment horizontal="center" vertical="center" wrapText="1"/>
    </xf>
    <xf numFmtId="49" fontId="163" fillId="9" borderId="131" xfId="4" applyNumberFormat="1" applyFont="1" applyFill="1" applyBorder="1" applyAlignment="1" applyProtection="1">
      <alignment horizontal="center" vertical="center" wrapText="1"/>
    </xf>
    <xf numFmtId="168" fontId="159" fillId="0" borderId="2" xfId="0" applyNumberFormat="1" applyFont="1" applyBorder="1" applyAlignment="1">
      <alignment horizontal="right" vertical="center" wrapText="1"/>
    </xf>
    <xf numFmtId="0" fontId="59" fillId="0" borderId="121" xfId="4" applyFont="1" applyFill="1" applyBorder="1" applyAlignment="1" applyProtection="1">
      <alignment horizontal="center" vertical="center" wrapText="1" shrinkToFit="1"/>
    </xf>
    <xf numFmtId="0" fontId="59" fillId="0" borderId="86" xfId="4" applyFont="1" applyFill="1" applyBorder="1" applyAlignment="1" applyProtection="1">
      <alignment horizontal="center" vertical="center" wrapText="1" shrinkToFit="1"/>
    </xf>
    <xf numFmtId="0" fontId="52" fillId="23" borderId="110" xfId="0" applyFont="1" applyFill="1" applyBorder="1" applyAlignment="1">
      <alignment horizontal="left" vertical="top" wrapText="1" indent="2"/>
    </xf>
    <xf numFmtId="0" fontId="52" fillId="23" borderId="101" xfId="0" applyFont="1" applyFill="1" applyBorder="1" applyAlignment="1">
      <alignment horizontal="left" vertical="top" wrapText="1" indent="2"/>
    </xf>
    <xf numFmtId="0" fontId="52" fillId="23" borderId="111" xfId="0" applyFont="1" applyFill="1" applyBorder="1" applyAlignment="1">
      <alignment horizontal="left" vertical="top" wrapText="1" indent="2"/>
    </xf>
    <xf numFmtId="0" fontId="52" fillId="23" borderId="92"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2" xfId="0" applyFont="1" applyFill="1" applyBorder="1" applyAlignment="1">
      <alignment horizontal="left" vertical="top" wrapText="1" indent="2"/>
    </xf>
    <xf numFmtId="0" fontId="59" fillId="0" borderId="11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6" xfId="4" applyFont="1" applyFill="1" applyBorder="1" applyAlignment="1" applyProtection="1">
      <alignment horizontal="center" vertical="center" wrapText="1"/>
    </xf>
    <xf numFmtId="0" fontId="59" fillId="0" borderId="86" xfId="4" applyFont="1" applyFill="1" applyBorder="1" applyAlignment="1" applyProtection="1">
      <alignment horizontal="center" vertical="center" wrapText="1"/>
    </xf>
    <xf numFmtId="0" fontId="124" fillId="22" borderId="115" xfId="0" applyFont="1" applyFill="1" applyBorder="1" applyAlignment="1">
      <alignment horizontal="left" vertical="center"/>
    </xf>
    <xf numFmtId="0" fontId="124" fillId="22" borderId="116" xfId="0" applyFont="1" applyFill="1" applyBorder="1" applyAlignment="1">
      <alignment horizontal="left" vertical="center"/>
    </xf>
    <xf numFmtId="0" fontId="59" fillId="0" borderId="100" xfId="0" applyFont="1" applyBorder="1" applyAlignment="1">
      <alignment horizontal="center" vertical="center"/>
    </xf>
    <xf numFmtId="0" fontId="59" fillId="0" borderId="101" xfId="0" applyFont="1" applyBorder="1" applyAlignment="1">
      <alignment horizontal="center" vertical="center"/>
    </xf>
    <xf numFmtId="0" fontId="59" fillId="0" borderId="114" xfId="0" applyFont="1" applyBorder="1" applyAlignment="1">
      <alignment horizontal="center" vertical="center"/>
    </xf>
    <xf numFmtId="0" fontId="59" fillId="0" borderId="122"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124" fillId="22" borderId="160" xfId="0" applyFont="1" applyFill="1" applyBorder="1" applyAlignment="1">
      <alignment horizontal="left" vertical="center"/>
    </xf>
    <xf numFmtId="173" fontId="17" fillId="0" borderId="122" xfId="1" applyNumberFormat="1" applyFont="1" applyBorder="1" applyAlignment="1">
      <alignment horizontal="center" vertical="center"/>
    </xf>
    <xf numFmtId="173" fontId="17" fillId="0" borderId="43" xfId="1" applyNumberFormat="1" applyFont="1" applyBorder="1" applyAlignment="1">
      <alignment horizontal="center" vertical="center"/>
    </xf>
    <xf numFmtId="173" fontId="17" fillId="0" borderId="48" xfId="1" applyNumberFormat="1" applyFont="1" applyBorder="1" applyAlignment="1">
      <alignment horizontal="center" vertical="center"/>
    </xf>
    <xf numFmtId="0" fontId="59" fillId="0" borderId="120" xfId="0" applyFont="1" applyBorder="1" applyAlignment="1">
      <alignment horizontal="center" vertical="center" wrapText="1"/>
    </xf>
    <xf numFmtId="0" fontId="59" fillId="0" borderId="161" xfId="0" applyFont="1" applyBorder="1" applyAlignment="1">
      <alignment horizontal="center" wrapText="1"/>
    </xf>
    <xf numFmtId="0" fontId="59" fillId="0" borderId="162" xfId="0" applyFont="1" applyBorder="1" applyAlignment="1">
      <alignment horizontal="center" wrapText="1"/>
    </xf>
    <xf numFmtId="0" fontId="59" fillId="0" borderId="2" xfId="0" applyFont="1" applyBorder="1" applyAlignment="1">
      <alignment horizontal="center" vertical="center" wrapText="1"/>
    </xf>
    <xf numFmtId="0" fontId="59" fillId="0" borderId="146" xfId="0" applyFont="1" applyBorder="1" applyAlignment="1">
      <alignment horizontal="center" vertical="center" wrapText="1"/>
    </xf>
    <xf numFmtId="168" fontId="59" fillId="0" borderId="118" xfId="0" applyNumberFormat="1" applyFont="1" applyBorder="1" applyAlignment="1">
      <alignment horizontal="center" vertical="center" wrapText="1"/>
    </xf>
    <xf numFmtId="168" fontId="59" fillId="0" borderId="119" xfId="0" applyNumberFormat="1" applyFont="1" applyBorder="1" applyAlignment="1">
      <alignment horizontal="center" vertical="center" wrapText="1"/>
    </xf>
    <xf numFmtId="0" fontId="59" fillId="0" borderId="118" xfId="0" applyFont="1" applyBorder="1" applyAlignment="1">
      <alignment horizontal="center" vertical="center"/>
    </xf>
    <xf numFmtId="0" fontId="59" fillId="0" borderId="119" xfId="0" applyFont="1" applyBorder="1" applyAlignment="1">
      <alignment horizontal="center" vertical="center"/>
    </xf>
    <xf numFmtId="0" fontId="158" fillId="0" borderId="163" xfId="0" applyFont="1" applyBorder="1" applyAlignment="1">
      <alignment horizontal="left" wrapText="1"/>
    </xf>
    <xf numFmtId="0" fontId="158" fillId="0" borderId="98" xfId="0" applyFont="1" applyBorder="1" applyAlignment="1">
      <alignment horizontal="left" wrapText="1"/>
    </xf>
    <xf numFmtId="173" fontId="71" fillId="0" borderId="0" xfId="1" applyNumberFormat="1" applyFont="1" applyFill="1" applyBorder="1" applyAlignment="1" applyProtection="1">
      <alignment horizontal="center" vertical="center" wrapText="1" shrinkToFit="1"/>
    </xf>
    <xf numFmtId="168" fontId="162" fillId="0" borderId="2" xfId="0" applyNumberFormat="1" applyFont="1" applyBorder="1" applyAlignment="1">
      <alignment horizontal="right" vertical="center" wrapText="1"/>
    </xf>
    <xf numFmtId="0" fontId="43" fillId="0" borderId="83" xfId="0" applyFont="1" applyBorder="1" applyAlignment="1" applyProtection="1">
      <alignment horizontal="left" vertical="center"/>
      <protection hidden="1"/>
    </xf>
    <xf numFmtId="0" fontId="43" fillId="0" borderId="84" xfId="0" applyFont="1" applyBorder="1" applyAlignment="1" applyProtection="1">
      <alignment horizontal="left" vertical="center"/>
      <protection hidden="1"/>
    </xf>
    <xf numFmtId="0" fontId="43" fillId="0" borderId="85" xfId="0" applyFont="1" applyBorder="1" applyAlignment="1" applyProtection="1">
      <alignment horizontal="left" vertical="center"/>
      <protection hidden="1"/>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23" fillId="0" borderId="63" xfId="0" applyFont="1" applyBorder="1" applyAlignment="1">
      <alignment horizontal="center" vertical="center"/>
    </xf>
    <xf numFmtId="0" fontId="23" fillId="0" borderId="58" xfId="0" applyFont="1" applyBorder="1" applyAlignment="1">
      <alignment horizontal="center" vertical="center"/>
    </xf>
    <xf numFmtId="0" fontId="23" fillId="0" borderId="59" xfId="0" applyFont="1" applyBorder="1" applyAlignment="1">
      <alignment horizontal="center" vertical="center"/>
    </xf>
    <xf numFmtId="0" fontId="17" fillId="0" borderId="64" xfId="0" applyFont="1" applyBorder="1" applyAlignment="1">
      <alignment horizontal="center" vertical="center"/>
    </xf>
    <xf numFmtId="0" fontId="44" fillId="0" borderId="124" xfId="0" applyFont="1" applyBorder="1" applyAlignment="1" applyProtection="1">
      <alignment horizontal="center" vertical="center"/>
      <protection hidden="1"/>
    </xf>
    <xf numFmtId="0" fontId="44" fillId="0" borderId="133" xfId="0" applyFont="1" applyBorder="1" applyAlignment="1" applyProtection="1">
      <alignment horizontal="center" vertical="center"/>
      <protection hidden="1"/>
    </xf>
    <xf numFmtId="0" fontId="44" fillId="0" borderId="134" xfId="0" applyFont="1" applyBorder="1" applyAlignment="1" applyProtection="1">
      <alignment horizontal="center" vertical="center"/>
      <protection hidden="1"/>
    </xf>
    <xf numFmtId="0" fontId="43" fillId="0" borderId="83" xfId="0" applyFont="1" applyBorder="1" applyAlignment="1" applyProtection="1">
      <alignment horizontal="center" vertical="center"/>
      <protection hidden="1"/>
    </xf>
    <xf numFmtId="0" fontId="43" fillId="0" borderId="84" xfId="0" applyFont="1" applyBorder="1" applyAlignment="1" applyProtection="1">
      <alignment horizontal="center" vertical="center"/>
      <protection hidden="1"/>
    </xf>
    <xf numFmtId="0" fontId="43" fillId="0" borderId="85"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5"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3"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65" xfId="0" applyFont="1" applyBorder="1" applyAlignment="1">
      <alignment horizontal="center" vertical="center" wrapText="1"/>
    </xf>
    <xf numFmtId="0" fontId="17" fillId="0" borderId="66" xfId="0" applyFont="1" applyBorder="1" applyAlignment="1">
      <alignment horizontal="center" vertical="center"/>
    </xf>
    <xf numFmtId="0" fontId="11" fillId="0" borderId="67" xfId="0" applyFont="1" applyBorder="1" applyAlignment="1">
      <alignment horizontal="center" vertical="center" wrapText="1"/>
    </xf>
    <xf numFmtId="0" fontId="11" fillId="0" borderId="63"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3"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3"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3" xfId="0" applyFont="1" applyBorder="1" applyAlignment="1">
      <alignment horizontal="left" vertical="center"/>
    </xf>
    <xf numFmtId="0" fontId="12" fillId="0" borderId="47" xfId="0" applyFont="1" applyBorder="1" applyAlignment="1">
      <alignment horizontal="left" vertical="center"/>
    </xf>
    <xf numFmtId="0" fontId="12" fillId="0" borderId="53"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2" fillId="0" borderId="27" xfId="0" applyFont="1" applyBorder="1" applyAlignment="1">
      <alignment horizontal="left" wrapText="1"/>
    </xf>
    <xf numFmtId="0" fontId="12" fillId="0" borderId="27" xfId="0" applyFont="1" applyBorder="1" applyAlignment="1">
      <alignment horizontal="left" wrapText="1"/>
    </xf>
    <xf numFmtId="0" fontId="12" fillId="0" borderId="29" xfId="0" applyFont="1" applyBorder="1" applyAlignment="1">
      <alignment horizontal="left" wrapText="1"/>
    </xf>
    <xf numFmtId="0" fontId="3" fillId="0" borderId="28" xfId="4" applyBorder="1" applyAlignment="1" applyProtection="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 fillId="0" borderId="32" xfId="0" applyFont="1" applyBorder="1" applyAlignment="1">
      <alignment horizontal="left" vertical="top" wrapText="1"/>
    </xf>
    <xf numFmtId="0" fontId="12" fillId="0" borderId="53" xfId="0"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15" fillId="23" borderId="110" xfId="0" applyFont="1" applyFill="1" applyBorder="1" applyAlignment="1">
      <alignment horizontal="center" vertical="center" wrapText="1"/>
    </xf>
    <xf numFmtId="0" fontId="15" fillId="23" borderId="101" xfId="0" applyFont="1" applyFill="1" applyBorder="1" applyAlignment="1">
      <alignment horizontal="center" vertical="center" wrapText="1"/>
    </xf>
    <xf numFmtId="0" fontId="15" fillId="23" borderId="111"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90"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2" fillId="0" borderId="171"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39" xfId="0" applyFont="1" applyBorder="1" applyAlignment="1">
      <alignment horizontal="left" vertical="center" wrapText="1"/>
    </xf>
    <xf numFmtId="0" fontId="12" fillId="0" borderId="170" xfId="0" applyFont="1" applyBorder="1" applyAlignment="1">
      <alignment horizontal="left" vertical="center" wrapText="1"/>
    </xf>
    <xf numFmtId="0" fontId="44" fillId="0" borderId="74"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5" xfId="0" quotePrefix="1" applyFont="1" applyBorder="1" applyAlignment="1">
      <alignment horizontal="center" vertical="center" wrapText="1"/>
    </xf>
    <xf numFmtId="0" fontId="12" fillId="0" borderId="4" xfId="0" quotePrefix="1" applyFont="1" applyBorder="1" applyAlignment="1">
      <alignment horizontal="left" vertical="center" wrapText="1"/>
    </xf>
    <xf numFmtId="0" fontId="12" fillId="0" borderId="10" xfId="0" quotePrefix="1" applyFont="1" applyBorder="1" applyAlignment="1">
      <alignment horizontal="left" vertical="center" wrapText="1"/>
    </xf>
    <xf numFmtId="0" fontId="12" fillId="0" borderId="49" xfId="0" quotePrefix="1" applyFont="1" applyBorder="1" applyAlignment="1">
      <alignment horizontal="left" vertical="center" wrapText="1"/>
    </xf>
    <xf numFmtId="0" fontId="2" fillId="0" borderId="4" xfId="0" quotePrefix="1" applyFont="1" applyBorder="1" applyAlignment="1">
      <alignment horizontal="left" vertical="center"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3"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2" fillId="0" borderId="4" xfId="0" applyFont="1" applyBorder="1" applyAlignment="1">
      <alignment horizontal="left" vertical="center" wrapText="1"/>
    </xf>
    <xf numFmtId="0" fontId="12" fillId="0" borderId="10" xfId="0" applyFont="1" applyBorder="1" applyAlignment="1">
      <alignment horizontal="left" vertical="center" wrapText="1"/>
    </xf>
    <xf numFmtId="0" fontId="12" fillId="0" borderId="49" xfId="0" applyFont="1" applyBorder="1" applyAlignment="1">
      <alignment horizontal="left" vertical="center" wrapText="1"/>
    </xf>
    <xf numFmtId="0" fontId="2" fillId="0" borderId="25" xfId="0" applyFont="1" applyBorder="1" applyAlignment="1">
      <alignment horizontal="left" vertical="center" wrapText="1"/>
    </xf>
    <xf numFmtId="0" fontId="2" fillId="0" borderId="0" xfId="0" applyFont="1" applyAlignment="1">
      <alignment horizontal="left" vertical="center" wrapText="1"/>
    </xf>
    <xf numFmtId="0" fontId="2" fillId="0" borderId="30" xfId="0" applyFont="1" applyBorder="1" applyAlignment="1">
      <alignment horizontal="lef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horizontal="left" vertical="top" wrapText="1"/>
    </xf>
    <xf numFmtId="0" fontId="2" fillId="0" borderId="0" xfId="0" applyFont="1" applyAlignment="1">
      <alignment horizontal="left" vertical="top" wrapText="1"/>
    </xf>
    <xf numFmtId="0" fontId="2" fillId="0" borderId="30" xfId="0" applyFont="1" applyBorder="1" applyAlignment="1">
      <alignment horizontal="left" vertical="top"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7">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b/>
        <i val="0"/>
        <color theme="9" tint="-0.24994659260841701"/>
      </font>
    </dxf>
    <dxf>
      <font>
        <b/>
        <i val="0"/>
        <color rgb="FFFF0000"/>
      </font>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strike val="0"/>
        <color auto="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FF0000"/>
      <color rgb="FF0000FF"/>
      <color rgb="FFDCE6F1"/>
      <color rgb="FFC5D9F1"/>
      <color rgb="FFC5E6F1"/>
      <color rgb="FF7F7F7F"/>
      <color rgb="FFF5C277"/>
      <color rgb="FF015CAB"/>
      <color rgb="FFDC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0</c:v>
                </c:pt>
                <c:pt idx="1">
                  <c:v>0.38772920688421864</c:v>
                </c:pt>
                <c:pt idx="2">
                  <c:v>48.078421653643112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08050779366844E-2"/>
          <c:y val="0.17129629629629628"/>
          <c:w val="0.88387902405056529"/>
          <c:h val="0.71262321376494608"/>
        </c:manualLayout>
      </c:layout>
      <c:barChart>
        <c:barDir val="col"/>
        <c:grouping val="stacked"/>
        <c:varyColors val="0"/>
        <c:ser>
          <c:idx val="0"/>
          <c:order val="0"/>
          <c:tx>
            <c:strRef>
              <c:f>'Carbon Calculations'!$L$12</c:f>
              <c:strCache>
                <c:ptCount val="1"/>
                <c:pt idx="0">
                  <c:v>Current Leakage Level</c:v>
                </c:pt>
              </c:strCache>
            </c:strRef>
          </c:tx>
          <c:spPr>
            <a:solidFill>
              <a:schemeClr val="accent1"/>
            </a:solid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Calculations'!$M$12:$N$12</c:f>
              <c:numCache>
                <c:formatCode>General</c:formatCode>
                <c:ptCount val="2"/>
                <c:pt idx="0" formatCode="#,##0.000">
                  <c:v>0</c:v>
                </c:pt>
              </c:numCache>
            </c:numRef>
          </c:val>
          <c:extLst>
            <c:ext xmlns:c16="http://schemas.microsoft.com/office/drawing/2014/chart" uri="{C3380CC4-5D6E-409C-BE32-E72D297353CC}">
              <c16:uniqueId val="{00000000-6589-4BCE-A153-5F17428AF2A3}"/>
            </c:ext>
          </c:extLst>
        </c:ser>
        <c:ser>
          <c:idx val="2"/>
          <c:order val="1"/>
          <c:tx>
            <c:strRef>
              <c:f>'Carbon Calculations'!$L$14</c:f>
              <c:strCache>
                <c:ptCount val="1"/>
                <c:pt idx="0">
                  <c:v>Leakage Level After Reduction</c:v>
                </c:pt>
              </c:strCache>
            </c:strRef>
          </c:tx>
          <c:spPr>
            <a:solidFill>
              <a:schemeClr val="accent1">
                <a:lumMod val="60000"/>
                <a:lumOff val="40000"/>
              </a:schemeClr>
            </a:solidFill>
            <a:ln>
              <a:solidFill>
                <a:schemeClr val="accent1"/>
              </a:solid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Calculations'!$M$14:$N$14</c:f>
              <c:numCache>
                <c:formatCode>#,##0.000</c:formatCode>
                <c:ptCount val="2"/>
                <c:pt idx="1">
                  <c:v>0</c:v>
                </c:pt>
              </c:numCache>
            </c:numRef>
          </c:val>
          <c:extLst>
            <c:ext xmlns:c16="http://schemas.microsoft.com/office/drawing/2014/chart" uri="{C3380CC4-5D6E-409C-BE32-E72D297353CC}">
              <c16:uniqueId val="{00000002-6589-4BCE-A153-5F17428AF2A3}"/>
            </c:ext>
          </c:extLst>
        </c:ser>
        <c:ser>
          <c:idx val="1"/>
          <c:order val="2"/>
          <c:tx>
            <c:strRef>
              <c:f>'Carbon Calculations'!$L$13</c:f>
              <c:strCache>
                <c:ptCount val="1"/>
                <c:pt idx="0">
                  <c:v>Target Leakage Reduction</c:v>
                </c:pt>
              </c:strCache>
            </c:strRef>
          </c:tx>
          <c:spPr>
            <a:pattFill prst="wdUpDiag">
              <a:fgClr>
                <a:schemeClr val="accent1"/>
              </a:fgClr>
              <a:bgClr>
                <a:schemeClr val="bg1"/>
              </a:bgClr>
            </a:patt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Calculations'!$M$13:$N$13</c:f>
              <c:numCache>
                <c:formatCode>#,##0.000</c:formatCode>
                <c:ptCount val="2"/>
                <c:pt idx="1">
                  <c:v>0</c:v>
                </c:pt>
              </c:numCache>
            </c:numRef>
          </c:val>
          <c:extLst>
            <c:ext xmlns:c16="http://schemas.microsoft.com/office/drawing/2014/chart" uri="{C3380CC4-5D6E-409C-BE32-E72D297353CC}">
              <c16:uniqueId val="{00000001-6589-4BCE-A153-5F17428AF2A3}"/>
            </c:ext>
          </c:extLst>
        </c:ser>
        <c:dLbls>
          <c:showLegendKey val="0"/>
          <c:showVal val="0"/>
          <c:showCatName val="0"/>
          <c:showSerName val="0"/>
          <c:showPercent val="0"/>
          <c:showBubbleSize val="0"/>
        </c:dLbls>
        <c:gapWidth val="30"/>
        <c:overlap val="100"/>
        <c:axId val="1004474792"/>
        <c:axId val="1004475872"/>
      </c:barChart>
      <c:catAx>
        <c:axId val="100447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n-US"/>
          </a:p>
        </c:txPr>
        <c:crossAx val="1004475872"/>
        <c:crosses val="autoZero"/>
        <c:auto val="1"/>
        <c:lblAlgn val="ctr"/>
        <c:lblOffset val="100"/>
        <c:noMultiLvlLbl val="0"/>
      </c:catAx>
      <c:valAx>
        <c:axId val="100447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044747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1282312925170068"/>
          <c:y val="3.2985496190138859E-2"/>
          <c:w val="0.85918367346938773"/>
          <c:h val="9.459535551135693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0</c:v>
                </c:pt>
                <c:pt idx="1">
                  <c:v>1.2666666666666666</c:v>
                </c:pt>
                <c:pt idx="2" formatCode="General">
                  <c:v>198.73333333333332</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0</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0</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0</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0</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-52.334191473572488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Notes!G68"/><Relationship Id="rId2" Type="http://schemas.openxmlformats.org/officeDocument/2006/relationships/chart" Target="../charts/chart19.xml"/><Relationship Id="rId1" Type="http://schemas.openxmlformats.org/officeDocument/2006/relationships/image" Target="../media/image1.png"/><Relationship Id="rId5" Type="http://schemas.openxmlformats.org/officeDocument/2006/relationships/hyperlink" Target="#Notes!G74"/><Relationship Id="rId4" Type="http://schemas.openxmlformats.org/officeDocument/2006/relationships/hyperlink" Target="#Notes!G71"/></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3" Type="http://schemas.openxmlformats.org/officeDocument/2006/relationships/hyperlink" Target="#Worksheet!H62"/><Relationship Id="rId18" Type="http://schemas.openxmlformats.org/officeDocument/2006/relationships/hyperlink" Target="#Worksheet!H43"/><Relationship Id="rId26" Type="http://schemas.openxmlformats.org/officeDocument/2006/relationships/hyperlink" Target="#input_WI"/><Relationship Id="rId3" Type="http://schemas.openxmlformats.org/officeDocument/2006/relationships/hyperlink" Target="#input_Lp"/><Relationship Id="rId21" Type="http://schemas.openxmlformats.org/officeDocument/2006/relationships/hyperlink" Target="#input_VPC"/><Relationship Id="rId34" Type="http://schemas.openxmlformats.org/officeDocument/2006/relationships/hyperlink" Target="#'Carbon Calculations'!B7:E7"/><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EEA"/><Relationship Id="rId33" Type="http://schemas.openxmlformats.org/officeDocument/2006/relationships/hyperlink" Target="#'Carbon Calculations'!B8:E8"/><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Dashboard!AK43:AN43"/><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Relationship Id="rId32" Type="http://schemas.openxmlformats.org/officeDocument/2006/relationships/hyperlink" Target="#'Carbon Calculations'!C5"/><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VOSEA"/><Relationship Id="rId28" Type="http://schemas.openxmlformats.org/officeDocument/2006/relationships/hyperlink" Target="#Worksheet!H53"/><Relationship Id="rId36" Type="http://schemas.openxmlformats.org/officeDocument/2006/relationships/hyperlink" Target="#'Carbon Calculations'!C13"/><Relationship Id="rId10" Type="http://schemas.openxmlformats.org/officeDocument/2006/relationships/hyperlink" Target="#Dashboard!AH41"/><Relationship Id="rId19" Type="http://schemas.openxmlformats.org/officeDocument/2006/relationships/hyperlink" Target="#input_UMAC"/><Relationship Id="rId31" Type="http://schemas.openxmlformats.org/officeDocument/2006/relationships/image" Target="../media/image1.png"/><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H51"/><Relationship Id="rId22" Type="http://schemas.openxmlformats.org/officeDocument/2006/relationships/hyperlink" Target="#Worksheet!H15"/><Relationship Id="rId27" Type="http://schemas.openxmlformats.org/officeDocument/2006/relationships/hyperlink" Target="#input_WIEA"/><Relationship Id="rId30" Type="http://schemas.openxmlformats.org/officeDocument/2006/relationships/hyperlink" Target="#Worksheet!K12"/><Relationship Id="rId35" Type="http://schemas.openxmlformats.org/officeDocument/2006/relationships/hyperlink" Target="#'Carbon Calculations'!B6:E6"/><Relationship Id="rId8" Type="http://schemas.openxmlformats.org/officeDocument/2006/relationships/hyperlink" Target="#input_CMI"/></Relationships>
</file>

<file path=xl/drawings/_rels/drawing15.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image" Target="../media/image6.emf"/><Relationship Id="rId12" Type="http://schemas.openxmlformats.org/officeDocument/2006/relationships/hyperlink" Target="#'Interactive Data Grading'!WE"/><Relationship Id="rId17" Type="http://schemas.openxmlformats.org/officeDocument/2006/relationships/image" Target="../media/image7.emf"/><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WI"/><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VOSEA"/><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VOS"/><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158147</xdr:colOff>
      <xdr:row>0</xdr:row>
      <xdr:rowOff>62778</xdr:rowOff>
    </xdr:from>
    <xdr:to>
      <xdr:col>5</xdr:col>
      <xdr:colOff>1226504</xdr:colOff>
      <xdr:row>0</xdr:row>
      <xdr:rowOff>283171</xdr:rowOff>
    </xdr:to>
    <xdr:sp macro="" textlink="">
      <xdr:nvSpPr>
        <xdr:cNvPr id="2" name="Text Box 706">
          <a:extLst>
            <a:ext uri="{FF2B5EF4-FFF2-40B4-BE49-F238E27FC236}">
              <a16:creationId xmlns:a16="http://schemas.microsoft.com/office/drawing/2014/main" id="{A94CFF82-AFC7-49AD-B03F-99CD86F09186}"/>
            </a:ext>
          </a:extLst>
        </xdr:cNvPr>
        <xdr:cNvSpPr txBox="1">
          <a:spLocks noChangeArrowheads="1"/>
        </xdr:cNvSpPr>
      </xdr:nvSpPr>
      <xdr:spPr bwMode="auto">
        <a:xfrm>
          <a:off x="9382965" y="62778"/>
          <a:ext cx="106835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4</xdr:col>
      <xdr:colOff>3320205</xdr:colOff>
      <xdr:row>0</xdr:row>
      <xdr:rowOff>238038</xdr:rowOff>
    </xdr:from>
    <xdr:to>
      <xdr:col>6</xdr:col>
      <xdr:colOff>22352</xdr:colOff>
      <xdr:row>0</xdr:row>
      <xdr:rowOff>535218</xdr:rowOff>
    </xdr:to>
    <xdr:sp macro="" textlink="">
      <xdr:nvSpPr>
        <xdr:cNvPr id="3" name="Text Box 474">
          <a:extLst>
            <a:ext uri="{FF2B5EF4-FFF2-40B4-BE49-F238E27FC236}">
              <a16:creationId xmlns:a16="http://schemas.microsoft.com/office/drawing/2014/main" id="{CDA2820A-BFAE-4883-A7A7-BB195A6B0552}"/>
            </a:ext>
          </a:extLst>
        </xdr:cNvPr>
        <xdr:cNvSpPr txBox="1">
          <a:spLocks noChangeArrowheads="1"/>
        </xdr:cNvSpPr>
      </xdr:nvSpPr>
      <xdr:spPr bwMode="auto">
        <a:xfrm>
          <a:off x="7933877" y="238038"/>
          <a:ext cx="1926014"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0</xdr:col>
      <xdr:colOff>60613</xdr:colOff>
      <xdr:row>0</xdr:row>
      <xdr:rowOff>25977</xdr:rowOff>
    </xdr:from>
    <xdr:to>
      <xdr:col>1</xdr:col>
      <xdr:colOff>459591</xdr:colOff>
      <xdr:row>0</xdr:row>
      <xdr:rowOff>476250</xdr:rowOff>
    </xdr:to>
    <xdr:pic>
      <xdr:nvPicPr>
        <xdr:cNvPr id="4" name="Picture 3">
          <a:extLst>
            <a:ext uri="{FF2B5EF4-FFF2-40B4-BE49-F238E27FC236}">
              <a16:creationId xmlns:a16="http://schemas.microsoft.com/office/drawing/2014/main" id="{2E6A082F-3513-45DB-96BE-ABB8AADDE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38" y="197427"/>
          <a:ext cx="473392" cy="450273"/>
        </a:xfrm>
        <a:prstGeom prst="rect">
          <a:avLst/>
        </a:prstGeom>
      </xdr:spPr>
    </xdr:pic>
    <xdr:clientData/>
  </xdr:twoCellAnchor>
  <xdr:twoCellAnchor>
    <xdr:from>
      <xdr:col>0</xdr:col>
      <xdr:colOff>73025</xdr:colOff>
      <xdr:row>18</xdr:row>
      <xdr:rowOff>114299</xdr:rowOff>
    </xdr:from>
    <xdr:to>
      <xdr:col>6</xdr:col>
      <xdr:colOff>4704</xdr:colOff>
      <xdr:row>36</xdr:row>
      <xdr:rowOff>2380</xdr:rowOff>
    </xdr:to>
    <xdr:graphicFrame macro="">
      <xdr:nvGraphicFramePr>
        <xdr:cNvPr id="7" name="Chart 6">
          <a:extLst>
            <a:ext uri="{FF2B5EF4-FFF2-40B4-BE49-F238E27FC236}">
              <a16:creationId xmlns:a16="http://schemas.microsoft.com/office/drawing/2014/main" id="{BB5588E7-EA15-659B-4F32-AC6CAC0E6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188595</xdr:colOff>
      <xdr:row>19</xdr:row>
      <xdr:rowOff>30480</xdr:rowOff>
    </xdr:from>
    <xdr:to>
      <xdr:col>1</xdr:col>
      <xdr:colOff>979170</xdr:colOff>
      <xdr:row>20</xdr:row>
      <xdr:rowOff>150495</xdr:rowOff>
    </xdr:to>
    <xdr:sp macro="" textlink="$M$9">
      <xdr:nvSpPr>
        <xdr:cNvPr id="8" name="TextBox 7">
          <a:extLst>
            <a:ext uri="{FF2B5EF4-FFF2-40B4-BE49-F238E27FC236}">
              <a16:creationId xmlns:a16="http://schemas.microsoft.com/office/drawing/2014/main" id="{F3B332AF-2974-0030-DBEA-A6790AD85026}"/>
            </a:ext>
          </a:extLst>
        </xdr:cNvPr>
        <xdr:cNvSpPr txBox="1"/>
      </xdr:nvSpPr>
      <xdr:spPr>
        <a:xfrm>
          <a:off x="333375" y="3977640"/>
          <a:ext cx="790575" cy="2876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27FB998-7C40-44D0-B11E-D744B435A7B3}" type="TxLink">
            <a:rPr lang="en-US" sz="1100" b="1" i="0" u="none" strike="noStrike">
              <a:solidFill>
                <a:schemeClr val="tx1">
                  <a:lumMod val="65000"/>
                  <a:lumOff val="35000"/>
                </a:schemeClr>
              </a:solidFill>
              <a:latin typeface="+mn-lt"/>
              <a:cs typeface="Arial"/>
            </a:rPr>
            <a:pPr/>
            <a:t> </a:t>
          </a:fld>
          <a:endParaRPr lang="en-US" sz="1400" b="1">
            <a:solidFill>
              <a:schemeClr val="tx1">
                <a:lumMod val="65000"/>
                <a:lumOff val="35000"/>
              </a:schemeClr>
            </a:solidFill>
            <a:latin typeface="+mn-lt"/>
          </a:endParaRPr>
        </a:p>
      </xdr:txBody>
    </xdr:sp>
    <xdr:clientData/>
  </xdr:twoCellAnchor>
  <xdr:twoCellAnchor>
    <xdr:from>
      <xdr:col>1</xdr:col>
      <xdr:colOff>43294</xdr:colOff>
      <xdr:row>4</xdr:row>
      <xdr:rowOff>0</xdr:rowOff>
    </xdr:from>
    <xdr:to>
      <xdr:col>1</xdr:col>
      <xdr:colOff>718704</xdr:colOff>
      <xdr:row>5</xdr:row>
      <xdr:rowOff>8659</xdr:rowOff>
    </xdr:to>
    <xdr:sp macro="" textlink="">
      <xdr:nvSpPr>
        <xdr:cNvPr id="5" name="TextBox 4">
          <a:hlinkClick xmlns:r="http://schemas.openxmlformats.org/officeDocument/2006/relationships" r:id="rId3"/>
          <a:extLst>
            <a:ext uri="{FF2B5EF4-FFF2-40B4-BE49-F238E27FC236}">
              <a16:creationId xmlns:a16="http://schemas.microsoft.com/office/drawing/2014/main" id="{67EDDF13-00D2-4004-733C-DFE1A45FBC49}"/>
            </a:ext>
          </a:extLst>
        </xdr:cNvPr>
        <xdr:cNvSpPr txBox="1"/>
      </xdr:nvSpPr>
      <xdr:spPr>
        <a:xfrm>
          <a:off x="190499" y="1082386"/>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43295</xdr:colOff>
      <xdr:row>5</xdr:row>
      <xdr:rowOff>25978</xdr:rowOff>
    </xdr:from>
    <xdr:to>
      <xdr:col>1</xdr:col>
      <xdr:colOff>718705</xdr:colOff>
      <xdr:row>6</xdr:row>
      <xdr:rowOff>34637</xdr:rowOff>
    </xdr:to>
    <xdr:sp macro="" textlink="">
      <xdr:nvSpPr>
        <xdr:cNvPr id="9" name="TextBox 8">
          <a:hlinkClick xmlns:r="http://schemas.openxmlformats.org/officeDocument/2006/relationships" r:id="rId4"/>
          <a:extLst>
            <a:ext uri="{FF2B5EF4-FFF2-40B4-BE49-F238E27FC236}">
              <a16:creationId xmlns:a16="http://schemas.microsoft.com/office/drawing/2014/main" id="{892970EF-18EE-4029-8FFA-57D30187741B}"/>
            </a:ext>
          </a:extLst>
        </xdr:cNvPr>
        <xdr:cNvSpPr txBox="1"/>
      </xdr:nvSpPr>
      <xdr:spPr>
        <a:xfrm>
          <a:off x="190500" y="1298864"/>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17318</xdr:colOff>
      <xdr:row>12</xdr:row>
      <xdr:rowOff>0</xdr:rowOff>
    </xdr:from>
    <xdr:to>
      <xdr:col>1</xdr:col>
      <xdr:colOff>692728</xdr:colOff>
      <xdr:row>13</xdr:row>
      <xdr:rowOff>8659</xdr:rowOff>
    </xdr:to>
    <xdr:sp macro="" textlink="">
      <xdr:nvSpPr>
        <xdr:cNvPr id="10" name="TextBox 9">
          <a:hlinkClick xmlns:r="http://schemas.openxmlformats.org/officeDocument/2006/relationships" r:id="rId5"/>
          <a:extLst>
            <a:ext uri="{FF2B5EF4-FFF2-40B4-BE49-F238E27FC236}">
              <a16:creationId xmlns:a16="http://schemas.microsoft.com/office/drawing/2014/main" id="{4315050F-B051-401A-A956-1F94891DB6E2}"/>
            </a:ext>
          </a:extLst>
        </xdr:cNvPr>
        <xdr:cNvSpPr txBox="1"/>
      </xdr:nvSpPr>
      <xdr:spPr>
        <a:xfrm>
          <a:off x="164523" y="2597727"/>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1316523</xdr:colOff>
      <xdr:row>2</xdr:row>
      <xdr:rowOff>36779</xdr:rowOff>
    </xdr:from>
    <xdr:to>
      <xdr:col>8</xdr:col>
      <xdr:colOff>1221909</xdr:colOff>
      <xdr:row>4</xdr:row>
      <xdr:rowOff>48</xdr:rowOff>
    </xdr:to>
    <xdr:sp macro="" textlink="">
      <xdr:nvSpPr>
        <xdr:cNvPr id="2" name="Text Box 706">
          <a:extLst>
            <a:ext uri="{FF2B5EF4-FFF2-40B4-BE49-F238E27FC236}">
              <a16:creationId xmlns:a16="http://schemas.microsoft.com/office/drawing/2014/main" id="{EE8AA2BC-5193-426F-A597-68A6C58652CB}"/>
            </a:ext>
          </a:extLst>
        </xdr:cNvPr>
        <xdr:cNvSpPr txBox="1">
          <a:spLocks noChangeArrowheads="1"/>
        </xdr:cNvSpPr>
      </xdr:nvSpPr>
      <xdr:spPr bwMode="auto">
        <a:xfrm>
          <a:off x="10079523" y="84404"/>
          <a:ext cx="1467486" cy="239494"/>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927100</xdr:colOff>
      <xdr:row>2</xdr:row>
      <xdr:rowOff>195443</xdr:rowOff>
    </xdr:from>
    <xdr:to>
      <xdr:col>8</xdr:col>
      <xdr:colOff>1265397</xdr:colOff>
      <xdr:row>5</xdr:row>
      <xdr:rowOff>48881</xdr:rowOff>
    </xdr:to>
    <xdr:sp macro="" textlink="">
      <xdr:nvSpPr>
        <xdr:cNvPr id="3" name="Text Box 474">
          <a:extLst>
            <a:ext uri="{FF2B5EF4-FFF2-40B4-BE49-F238E27FC236}">
              <a16:creationId xmlns:a16="http://schemas.microsoft.com/office/drawing/2014/main" id="{F7E8FDA6-F1C3-4CEC-A5FF-2C3777B4D283}"/>
            </a:ext>
          </a:extLst>
        </xdr:cNvPr>
        <xdr:cNvSpPr txBox="1">
          <a:spLocks noChangeArrowheads="1"/>
        </xdr:cNvSpPr>
      </xdr:nvSpPr>
      <xdr:spPr bwMode="auto">
        <a:xfrm>
          <a:off x="9690100" y="243068"/>
          <a:ext cx="1900397" cy="33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4" name="Picture 3">
          <a:extLst>
            <a:ext uri="{FF2B5EF4-FFF2-40B4-BE49-F238E27FC236}">
              <a16:creationId xmlns:a16="http://schemas.microsoft.com/office/drawing/2014/main" id="{BF7D822F-6B34-4974-9CC0-D06130301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82" y="559377"/>
          <a:ext cx="473392" cy="4978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268605</xdr:colOff>
      <xdr:row>55</xdr:row>
      <xdr:rowOff>2171698</xdr:rowOff>
    </xdr:from>
    <xdr:to>
      <xdr:col>11</xdr:col>
      <xdr:colOff>202578</xdr:colOff>
      <xdr:row>55</xdr:row>
      <xdr:rowOff>2343149</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flipV="1">
          <a:off x="1516380" y="48015523"/>
          <a:ext cx="8011173" cy="171451"/>
        </a:xfrm>
        <a:prstGeom prst="rect">
          <a:avLst/>
        </a:prstGeom>
        <a:noFill/>
        <a:ln w="12700" algn="ctr">
          <a:noFill/>
          <a:miter lim="800000"/>
          <a:headEnd/>
          <a:tailEnd/>
        </a:ln>
        <a:effectLst/>
      </xdr:spPr>
      <xdr:txBody>
        <a:bodyPr vertOverflow="clip" wrap="square" lIns="27432" tIns="22860" rIns="0" bIns="0" anchor="ctr"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169227</xdr:colOff>
      <xdr:row>17</xdr:row>
      <xdr:rowOff>1020707</xdr:rowOff>
    </xdr:from>
    <xdr:to>
      <xdr:col>2</xdr:col>
      <xdr:colOff>912510</xdr:colOff>
      <xdr:row>17</xdr:row>
      <xdr:rowOff>1290265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21627" y="14870057"/>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424815</xdr:rowOff>
    </xdr:from>
    <xdr:to>
      <xdr:col>2</xdr:col>
      <xdr:colOff>942990</xdr:colOff>
      <xdr:row>31</xdr:row>
      <xdr:rowOff>708148</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47345" y="28056840"/>
          <a:ext cx="748045" cy="28333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38</xdr:row>
      <xdr:rowOff>525780</xdr:rowOff>
    </xdr:from>
    <xdr:to>
      <xdr:col>2</xdr:col>
      <xdr:colOff>927929</xdr:colOff>
      <xdr:row>38</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40</xdr:row>
      <xdr:rowOff>3235567</xdr:rowOff>
    </xdr:from>
    <xdr:to>
      <xdr:col>2</xdr:col>
      <xdr:colOff>964001</xdr:colOff>
      <xdr:row>40</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44</xdr:row>
      <xdr:rowOff>641985</xdr:rowOff>
    </xdr:from>
    <xdr:to>
      <xdr:col>2</xdr:col>
      <xdr:colOff>942990</xdr:colOff>
      <xdr:row>44</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46</xdr:row>
      <xdr:rowOff>1301750</xdr:rowOff>
    </xdr:from>
    <xdr:to>
      <xdr:col>2</xdr:col>
      <xdr:colOff>942990</xdr:colOff>
      <xdr:row>46</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53</xdr:row>
      <xdr:rowOff>766970</xdr:rowOff>
    </xdr:from>
    <xdr:to>
      <xdr:col>2</xdr:col>
      <xdr:colOff>935566</xdr:colOff>
      <xdr:row>53</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55</xdr:row>
      <xdr:rowOff>2098312</xdr:rowOff>
    </xdr:from>
    <xdr:to>
      <xdr:col>2</xdr:col>
      <xdr:colOff>932468</xdr:colOff>
      <xdr:row>55</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171450</xdr:colOff>
      <xdr:row>69</xdr:row>
      <xdr:rowOff>1143000</xdr:rowOff>
    </xdr:from>
    <xdr:to>
      <xdr:col>2</xdr:col>
      <xdr:colOff>926041</xdr:colOff>
      <xdr:row>69</xdr:row>
      <xdr:rowOff>1384107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23850" y="56026050"/>
          <a:ext cx="754591" cy="24110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71</xdr:row>
      <xdr:rowOff>1563813</xdr:rowOff>
    </xdr:from>
    <xdr:to>
      <xdr:col>2</xdr:col>
      <xdr:colOff>923352</xdr:colOff>
      <xdr:row>71</xdr:row>
      <xdr:rowOff>1839380</xdr:rowOff>
    </xdr:to>
    <xdr:sp macro="" textlink="">
      <xdr:nvSpPr>
        <xdr:cNvPr id="45" name="Rounded Rectangle 44">
          <a:hlinkClick xmlns:r="http://schemas.openxmlformats.org/officeDocument/2006/relationships" r:id="rId22"/>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73</xdr:row>
      <xdr:rowOff>914400</xdr:rowOff>
    </xdr:from>
    <xdr:to>
      <xdr:col>2</xdr:col>
      <xdr:colOff>942990</xdr:colOff>
      <xdr:row>73</xdr:row>
      <xdr:rowOff>1196340</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75</xdr:row>
      <xdr:rowOff>1263650</xdr:rowOff>
    </xdr:from>
    <xdr:to>
      <xdr:col>2</xdr:col>
      <xdr:colOff>927929</xdr:colOff>
      <xdr:row>75</xdr:row>
      <xdr:rowOff>1547637</xdr:rowOff>
    </xdr:to>
    <xdr:sp macro="" textlink="">
      <xdr:nvSpPr>
        <xdr:cNvPr id="48" name="Rounded Rectangle 47">
          <a:hlinkClick xmlns:r="http://schemas.openxmlformats.org/officeDocument/2006/relationships" r:id="rId24"/>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77</xdr:row>
      <xdr:rowOff>1181735</xdr:rowOff>
    </xdr:from>
    <xdr:to>
      <xdr:col>2</xdr:col>
      <xdr:colOff>942990</xdr:colOff>
      <xdr:row>77</xdr:row>
      <xdr:rowOff>1456256</xdr:rowOff>
    </xdr:to>
    <xdr:sp macro="" textlink="">
      <xdr:nvSpPr>
        <xdr:cNvPr id="49" name="Rounded Rectangle 48">
          <a:hlinkClick xmlns:r="http://schemas.openxmlformats.org/officeDocument/2006/relationships" r:id="rId25"/>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79</xdr:row>
      <xdr:rowOff>582349</xdr:rowOff>
    </xdr:from>
    <xdr:to>
      <xdr:col>2</xdr:col>
      <xdr:colOff>950806</xdr:colOff>
      <xdr:row>79</xdr:row>
      <xdr:rowOff>867147</xdr:rowOff>
    </xdr:to>
    <xdr:sp macro="" textlink="">
      <xdr:nvSpPr>
        <xdr:cNvPr id="50" name="Rounded Rectangle 49">
          <a:hlinkClick xmlns:r="http://schemas.openxmlformats.org/officeDocument/2006/relationships" r:id="rId26"/>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81</xdr:row>
      <xdr:rowOff>930910</xdr:rowOff>
    </xdr:from>
    <xdr:to>
      <xdr:col>2</xdr:col>
      <xdr:colOff>942990</xdr:colOff>
      <xdr:row>81</xdr:row>
      <xdr:rowOff>1211239</xdr:rowOff>
    </xdr:to>
    <xdr:sp macro="" textlink="">
      <xdr:nvSpPr>
        <xdr:cNvPr id="51" name="Rounded Rectangle 50">
          <a:hlinkClick xmlns:r="http://schemas.openxmlformats.org/officeDocument/2006/relationships" r:id="rId27"/>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86</xdr:row>
      <xdr:rowOff>516890</xdr:rowOff>
    </xdr:from>
    <xdr:to>
      <xdr:col>2</xdr:col>
      <xdr:colOff>942990</xdr:colOff>
      <xdr:row>86</xdr:row>
      <xdr:rowOff>816435</xdr:rowOff>
    </xdr:to>
    <xdr:sp macro="" textlink="">
      <xdr:nvSpPr>
        <xdr:cNvPr id="52" name="Rounded Rectangle 51">
          <a:hlinkClick xmlns:r="http://schemas.openxmlformats.org/officeDocument/2006/relationships" r:id="rId28"/>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48</xdr:row>
      <xdr:rowOff>2671360</xdr:rowOff>
    </xdr:from>
    <xdr:to>
      <xdr:col>2</xdr:col>
      <xdr:colOff>909551</xdr:colOff>
      <xdr:row>48</xdr:row>
      <xdr:rowOff>2956355</xdr:rowOff>
    </xdr:to>
    <xdr:sp macro="" textlink="">
      <xdr:nvSpPr>
        <xdr:cNvPr id="46" name="Rounded Rectangle 40">
          <a:hlinkClick xmlns:r="http://schemas.openxmlformats.org/officeDocument/2006/relationships" r:id="rId29"/>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83</xdr:row>
      <xdr:rowOff>702807</xdr:rowOff>
    </xdr:from>
    <xdr:to>
      <xdr:col>2</xdr:col>
      <xdr:colOff>932803</xdr:colOff>
      <xdr:row>83</xdr:row>
      <xdr:rowOff>977421</xdr:rowOff>
    </xdr:to>
    <xdr:sp macro="" textlink="">
      <xdr:nvSpPr>
        <xdr:cNvPr id="42" name="Rounded Rectangle 50">
          <a:hlinkClick xmlns:r="http://schemas.openxmlformats.org/officeDocument/2006/relationships" r:id="rId30"/>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twoCellAnchor>
    <xdr:from>
      <xdr:col>2</xdr:col>
      <xdr:colOff>180975</xdr:colOff>
      <xdr:row>33</xdr:row>
      <xdr:rowOff>390525</xdr:rowOff>
    </xdr:from>
    <xdr:to>
      <xdr:col>2</xdr:col>
      <xdr:colOff>926024</xdr:colOff>
      <xdr:row>34</xdr:row>
      <xdr:rowOff>114300</xdr:rowOff>
    </xdr:to>
    <xdr:sp macro="" textlink="">
      <xdr:nvSpPr>
        <xdr:cNvPr id="4" name="Rounded Rectangle 37">
          <a:hlinkClick xmlns:r="http://schemas.openxmlformats.org/officeDocument/2006/relationships" r:id="rId32"/>
          <a:extLst>
            <a:ext uri="{FF2B5EF4-FFF2-40B4-BE49-F238E27FC236}">
              <a16:creationId xmlns:a16="http://schemas.microsoft.com/office/drawing/2014/main" id="{3C9759F9-7572-47D6-A4F7-DCBF8B409827}"/>
            </a:ext>
          </a:extLst>
        </xdr:cNvPr>
        <xdr:cNvSpPr/>
      </xdr:nvSpPr>
      <xdr:spPr bwMode="auto">
        <a:xfrm>
          <a:off x="333375" y="28813125"/>
          <a:ext cx="745049"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63</xdr:row>
      <xdr:rowOff>390525</xdr:rowOff>
    </xdr:from>
    <xdr:to>
      <xdr:col>2</xdr:col>
      <xdr:colOff>926024</xdr:colOff>
      <xdr:row>63</xdr:row>
      <xdr:rowOff>672465</xdr:rowOff>
    </xdr:to>
    <xdr:sp macro="" textlink="">
      <xdr:nvSpPr>
        <xdr:cNvPr id="5" name="Rounded Rectangle 37">
          <a:hlinkClick xmlns:r="http://schemas.openxmlformats.org/officeDocument/2006/relationships" r:id="rId33"/>
          <a:extLst>
            <a:ext uri="{FF2B5EF4-FFF2-40B4-BE49-F238E27FC236}">
              <a16:creationId xmlns:a16="http://schemas.microsoft.com/office/drawing/2014/main" id="{22E6164B-9D95-4883-BA7C-39DE916B3331}"/>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65</xdr:row>
      <xdr:rowOff>390525</xdr:rowOff>
    </xdr:from>
    <xdr:to>
      <xdr:col>2</xdr:col>
      <xdr:colOff>926024</xdr:colOff>
      <xdr:row>65</xdr:row>
      <xdr:rowOff>672465</xdr:rowOff>
    </xdr:to>
    <xdr:sp macro="" textlink="">
      <xdr:nvSpPr>
        <xdr:cNvPr id="6" name="Rounded Rectangle 37">
          <a:hlinkClick xmlns:r="http://schemas.openxmlformats.org/officeDocument/2006/relationships" r:id="rId34"/>
          <a:extLst>
            <a:ext uri="{FF2B5EF4-FFF2-40B4-BE49-F238E27FC236}">
              <a16:creationId xmlns:a16="http://schemas.microsoft.com/office/drawing/2014/main" id="{EBC535A1-AD02-49ED-99E6-7DBF65605E75}"/>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67</xdr:row>
      <xdr:rowOff>952500</xdr:rowOff>
    </xdr:from>
    <xdr:to>
      <xdr:col>2</xdr:col>
      <xdr:colOff>926024</xdr:colOff>
      <xdr:row>67</xdr:row>
      <xdr:rowOff>1234440</xdr:rowOff>
    </xdr:to>
    <xdr:sp macro="" textlink="">
      <xdr:nvSpPr>
        <xdr:cNvPr id="7" name="Rounded Rectangle 37">
          <a:hlinkClick xmlns:r="http://schemas.openxmlformats.org/officeDocument/2006/relationships" r:id="rId35"/>
          <a:extLst>
            <a:ext uri="{FF2B5EF4-FFF2-40B4-BE49-F238E27FC236}">
              <a16:creationId xmlns:a16="http://schemas.microsoft.com/office/drawing/2014/main" id="{AFFCE7C9-BAC3-40B4-91B8-ED405998CAB1}"/>
            </a:ext>
          </a:extLst>
        </xdr:cNvPr>
        <xdr:cNvSpPr/>
      </xdr:nvSpPr>
      <xdr:spPr bwMode="auto">
        <a:xfrm>
          <a:off x="333375" y="53530500"/>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42</xdr:row>
      <xdr:rowOff>438150</xdr:rowOff>
    </xdr:from>
    <xdr:to>
      <xdr:col>2</xdr:col>
      <xdr:colOff>929020</xdr:colOff>
      <xdr:row>42</xdr:row>
      <xdr:rowOff>734145</xdr:rowOff>
    </xdr:to>
    <xdr:sp macro="" textlink="">
      <xdr:nvSpPr>
        <xdr:cNvPr id="8" name="Rounded Rectangle 39">
          <a:hlinkClick xmlns:r="http://schemas.openxmlformats.org/officeDocument/2006/relationships" r:id="rId36"/>
          <a:extLst>
            <a:ext uri="{FF2B5EF4-FFF2-40B4-BE49-F238E27FC236}">
              <a16:creationId xmlns:a16="http://schemas.microsoft.com/office/drawing/2014/main" id="{E370BEE5-BC20-43A9-932C-0242EC77DA99}"/>
            </a:ext>
          </a:extLst>
        </xdr:cNvPr>
        <xdr:cNvSpPr/>
      </xdr:nvSpPr>
      <xdr:spPr bwMode="auto">
        <a:xfrm>
          <a:off x="333375" y="36309300"/>
          <a:ext cx="748045"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2047875</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5648325" y="283845"/>
          <a:ext cx="1985017" cy="32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16</xdr:col>
      <xdr:colOff>343729</xdr:colOff>
      <xdr:row>1</xdr:row>
      <xdr:rowOff>74929</xdr:rowOff>
    </xdr:from>
    <xdr:to>
      <xdr:col>18</xdr:col>
      <xdr:colOff>23303</xdr:colOff>
      <xdr:row>1</xdr:row>
      <xdr:rowOff>294788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817929" y="176529"/>
          <a:ext cx="1375024" cy="21985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107719</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98429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98430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984301"/>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984302"/>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984303"/>
                  </a:ext>
                </a:extLst>
              </xdr:cNvPicPr>
            </xdr:nvPicPr>
            <xdr:blipFill rotWithShape="1">
              <a:blip xmlns:r="http://schemas.openxmlformats.org/officeDocument/2006/relationships" r:embed="rId7"/>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984304"/>
                  </a:ext>
                </a:extLst>
              </xdr:cNvPicPr>
            </xdr:nvPicPr>
            <xdr:blipFill rotWithShape="1">
              <a:blip xmlns:r="http://schemas.openxmlformats.org/officeDocument/2006/relationships" r:embed="rId7"/>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984305"/>
                  </a:ext>
                </a:extLst>
              </xdr:cNvPicPr>
            </xdr:nvPicPr>
            <xdr:blipFill rotWithShape="1">
              <a:blip xmlns:r="http://schemas.openxmlformats.org/officeDocument/2006/relationships" r:embed="rId7"/>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984306"/>
                  </a:ext>
                </a:extLst>
              </xdr:cNvPicPr>
            </xdr:nvPicPr>
            <xdr:blipFill rotWithShape="1">
              <a:blip xmlns:r="http://schemas.openxmlformats.org/officeDocument/2006/relationships" r:embed="rId7"/>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984307"/>
                  </a:ext>
                </a:extLst>
              </xdr:cNvPicPr>
            </xdr:nvPicPr>
            <xdr:blipFill rotWithShape="1">
              <a:blip xmlns:r="http://schemas.openxmlformats.org/officeDocument/2006/relationships" r:embed="rId7"/>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984308"/>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984309"/>
                  </a:ext>
                </a:extLst>
              </xdr:cNvPicPr>
            </xdr:nvPicPr>
            <xdr:blipFill rotWithShape="1">
              <a:blip xmlns:r="http://schemas.openxmlformats.org/officeDocument/2006/relationships" r:embed="rId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5"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984310"/>
                  </a:ext>
                </a:extLst>
              </xdr:cNvPicPr>
            </xdr:nvPicPr>
            <xdr:blipFill rotWithShape="1">
              <a:blip xmlns:r="http://schemas.openxmlformats.org/officeDocument/2006/relationships" r:embed="rId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6"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984311"/>
                  </a:ext>
                </a:extLst>
              </xdr:cNvPicPr>
            </xdr:nvPicPr>
            <xdr:blipFill rotWithShape="1">
              <a:blip xmlns:r="http://schemas.openxmlformats.org/officeDocument/2006/relationships" r:embed="rId1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984312"/>
                  </a:ext>
                </a:extLst>
              </xdr:cNvPicPr>
            </xdr:nvPicPr>
            <xdr:blipFill rotWithShape="1">
              <a:blip xmlns:r="http://schemas.openxmlformats.org/officeDocument/2006/relationships" r:embed="rId1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984313"/>
                  </a:ext>
                </a:extLst>
              </xdr:cNvPicPr>
            </xdr:nvPicPr>
            <xdr:blipFill rotWithShape="1">
              <a:blip xmlns:r="http://schemas.openxmlformats.org/officeDocument/2006/relationships" r:embed="rId1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984314"/>
                  </a:ext>
                </a:extLst>
              </xdr:cNvPicPr>
            </xdr:nvPicPr>
            <xdr:blipFill rotWithShape="1">
              <a:blip xmlns:r="http://schemas.openxmlformats.org/officeDocument/2006/relationships" r:embed="rId1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984315"/>
                  </a:ext>
                </a:extLst>
              </xdr:cNvPicPr>
            </xdr:nvPicPr>
            <xdr:blipFill rotWithShape="1">
              <a:blip xmlns:r="http://schemas.openxmlformats.org/officeDocument/2006/relationships" r:embed="rId1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984316"/>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v6.1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2025,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984317"/>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66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7186"/>
          <a:ext cx="4846494" cy="3718771"/>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12</xdr:col>
      <xdr:colOff>38100</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561647" y="60854"/>
          <a:ext cx="2057728" cy="314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2025,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45457</xdr:colOff>
      <xdr:row>2</xdr:row>
      <xdr:rowOff>23616</xdr:rowOff>
    </xdr:from>
    <xdr:to>
      <xdr:col>7</xdr:col>
      <xdr:colOff>181688</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99639" y="364207"/>
          <a:ext cx="1106049" cy="222216"/>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panose="020B0604020202020204" pitchFamily="34" charset="0"/>
              <a:cs typeface="Arial" panose="020B0604020202020204" pitchFamily="34" charset="0"/>
            </a:rPr>
            <a:t> </a:t>
          </a:r>
          <a:r>
            <a:rPr lang="en-US" sz="900" b="0" i="0" baseline="0">
              <a:solidFill>
                <a:schemeClr val="bg1"/>
              </a:solidFill>
              <a:effectLst/>
              <a:latin typeface="Arial" panose="020B0604020202020204" pitchFamily="34" charset="0"/>
              <a:ea typeface="+mn-ea"/>
              <a:cs typeface="Arial" panose="020B0604020202020204" pitchFamily="34" charset="0"/>
            </a:rPr>
            <a:t>FWAS v6.1</a:t>
          </a:r>
          <a:endParaRPr lang="en-US" sz="900">
            <a:solidFill>
              <a:schemeClr val="bg1"/>
            </a:solidFill>
            <a:effectLst/>
            <a:latin typeface="Arial" panose="020B0604020202020204" pitchFamily="34" charset="0"/>
            <a:cs typeface="Arial" panose="020B0604020202020204" pitchFamily="34" charset="0"/>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2433204</xdr:colOff>
      <xdr:row>1</xdr:row>
      <xdr:rowOff>165001</xdr:rowOff>
    </xdr:from>
    <xdr:to>
      <xdr:col>7</xdr:col>
      <xdr:colOff>4397950</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282545" y="251592"/>
          <a:ext cx="1964746"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2929423</xdr:colOff>
      <xdr:row>2</xdr:row>
      <xdr:rowOff>36779</xdr:rowOff>
    </xdr:from>
    <xdr:to>
      <xdr:col>7</xdr:col>
      <xdr:colOff>1231322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39873" y="81229"/>
          <a:ext cx="1508649" cy="24266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lackandveatch-my.sharepoint.com/personal/sayersda_bv_com/Documents/Water%20Audits/Data/Water%20Audit/v6.1/Dev/v6.003.xlsx" TargetMode="External"/><Relationship Id="rId1" Type="http://schemas.openxmlformats.org/officeDocument/2006/relationships/externalLinkPath" Target="https://americanwaterworks-my.sharepoint.com/Users/jjwil/Dropbox%20(Cavanaugh)/cavanaugh%20corporate/google%20drive/v6/v6.1/v6.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S"/>
      <sheetName val="VOSEA"/>
      <sheetName val="WI"/>
      <sheetName val="WIEA"/>
      <sheetName val="WE"/>
      <sheetName val="WEEA"/>
      <sheetName val="BMAC"/>
      <sheetName val="BUAC"/>
      <sheetName val="UMAC"/>
      <sheetName val="UUAC"/>
      <sheetName val="UC"/>
      <sheetName val="CMI"/>
      <sheetName val="SDHE"/>
      <sheetName val="Lm"/>
      <sheetName val="Nc"/>
      <sheetName val="Lp"/>
      <sheetName val="AOP"/>
      <sheetName val="CRUC"/>
      <sheetName val="VPC"/>
      <sheetName val="Start Page"/>
      <sheetName val="Worksheet"/>
      <sheetName val="Interactive Data Grading"/>
      <sheetName val="Dashboard"/>
      <sheetName val="Notes"/>
      <sheetName val="Sheet1"/>
      <sheetName val="Blank Sheet"/>
      <sheetName val="Water Balance"/>
      <sheetName val="Carbon Calculations"/>
      <sheetName val="Carbon Calculations (2)"/>
      <sheetName val="Carbon Balance"/>
      <sheetName val="Loss Control Planning"/>
      <sheetName val="M36 Refs"/>
      <sheetName val="Definitions"/>
      <sheetName val="Service Connection Diagram"/>
      <sheetName val="Acknowled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5">
          <cell r="H15">
            <v>12500</v>
          </cell>
        </row>
        <row r="16">
          <cell r="H16">
            <v>100</v>
          </cell>
        </row>
        <row r="17">
          <cell r="H17">
            <v>500</v>
          </cell>
        </row>
        <row r="68">
          <cell r="H68">
            <v>70</v>
          </cell>
        </row>
        <row r="76">
          <cell r="H76">
            <v>5</v>
          </cell>
        </row>
        <row r="77">
          <cell r="H77">
            <v>500</v>
          </cell>
        </row>
      </sheetData>
      <sheetData sheetId="21" refreshError="1"/>
      <sheetData sheetId="22"/>
      <sheetData sheetId="23" refreshError="1"/>
      <sheetData sheetId="24">
        <row r="122">
          <cell r="L122" t="str">
            <v>Max DVS Flag</v>
          </cell>
          <cell r="N122" t="str">
            <v>ok</v>
          </cell>
        </row>
        <row r="123">
          <cell r="L123" t="str">
            <v>Ok</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mailto:wlc@awwa.org"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https://app.electricitymap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topLeftCell="A12" workbookViewId="0">
      <selection activeCell="D17" sqref="D17"/>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268</v>
      </c>
      <c r="C1" s="136"/>
      <c r="D1" s="166" t="s">
        <v>289</v>
      </c>
      <c r="E1" s="166"/>
      <c r="F1" s="160"/>
      <c r="G1" s="136"/>
      <c r="H1" s="136"/>
      <c r="I1" s="172" t="s">
        <v>310</v>
      </c>
      <c r="J1" s="136"/>
      <c r="K1" s="136"/>
      <c r="L1" s="136"/>
      <c r="M1" s="136"/>
      <c r="N1" s="136"/>
      <c r="O1" s="136"/>
      <c r="P1" s="136"/>
      <c r="Q1" s="136"/>
      <c r="R1" s="136"/>
    </row>
    <row r="2" spans="2:18">
      <c r="B2" s="159" t="s">
        <v>25</v>
      </c>
      <c r="C2" s="136" t="s">
        <v>800</v>
      </c>
      <c r="D2" s="136"/>
      <c r="E2" s="136"/>
      <c r="F2" s="136"/>
      <c r="G2" s="136"/>
      <c r="H2" s="136"/>
      <c r="I2" s="136"/>
      <c r="J2" s="136"/>
      <c r="K2" s="136"/>
      <c r="L2" s="136"/>
      <c r="M2" s="136"/>
      <c r="N2" s="136"/>
      <c r="O2" s="136"/>
      <c r="P2" s="136"/>
      <c r="Q2" s="136"/>
      <c r="R2" s="136"/>
    </row>
    <row r="3" spans="2:18">
      <c r="B3" s="137" t="s">
        <v>311</v>
      </c>
      <c r="C3" s="137" t="s">
        <v>299</v>
      </c>
      <c r="D3" s="137" t="s">
        <v>300</v>
      </c>
      <c r="E3" s="137" t="s">
        <v>301</v>
      </c>
      <c r="F3" s="137" t="s">
        <v>302</v>
      </c>
      <c r="G3" s="137" t="s">
        <v>303</v>
      </c>
      <c r="H3" s="137" t="s">
        <v>304</v>
      </c>
      <c r="I3" s="137" t="s">
        <v>305</v>
      </c>
      <c r="J3" s="137" t="s">
        <v>306</v>
      </c>
      <c r="K3" s="137" t="s">
        <v>307</v>
      </c>
      <c r="L3" s="137" t="s">
        <v>787</v>
      </c>
      <c r="M3" s="137"/>
      <c r="N3" s="137"/>
      <c r="O3" s="137"/>
      <c r="P3" s="137"/>
      <c r="Q3" s="137"/>
      <c r="R3" s="137"/>
    </row>
    <row r="4" spans="2:18" ht="39.6">
      <c r="B4" s="162" t="s">
        <v>270</v>
      </c>
      <c r="C4" s="162" t="s">
        <v>271</v>
      </c>
      <c r="D4" s="162" t="s">
        <v>312</v>
      </c>
      <c r="E4" s="162" t="s">
        <v>788</v>
      </c>
      <c r="F4" s="162" t="s">
        <v>313</v>
      </c>
      <c r="G4" s="162" t="s">
        <v>274</v>
      </c>
      <c r="H4" s="162" t="s">
        <v>314</v>
      </c>
      <c r="I4" s="162" t="s">
        <v>315</v>
      </c>
      <c r="J4" s="162" t="s">
        <v>277</v>
      </c>
      <c r="K4" s="162" t="s">
        <v>278</v>
      </c>
      <c r="L4" s="162" t="s">
        <v>279</v>
      </c>
      <c r="M4" s="162"/>
      <c r="N4" s="162"/>
      <c r="O4" s="162"/>
      <c r="P4" s="162"/>
      <c r="Q4" s="162"/>
      <c r="R4" s="162"/>
    </row>
    <row r="5" spans="2:18" ht="118.8">
      <c r="B5" s="138" t="s">
        <v>280</v>
      </c>
      <c r="C5" s="138" t="s">
        <v>281</v>
      </c>
      <c r="D5" s="138" t="s">
        <v>801</v>
      </c>
      <c r="E5" s="138" t="s">
        <v>789</v>
      </c>
      <c r="F5" s="138" t="s">
        <v>319</v>
      </c>
      <c r="G5" s="138" t="s">
        <v>790</v>
      </c>
      <c r="H5" s="138" t="s">
        <v>320</v>
      </c>
      <c r="I5" s="138" t="s">
        <v>981</v>
      </c>
      <c r="J5" s="138" t="s">
        <v>791</v>
      </c>
      <c r="K5" s="138" t="s">
        <v>920</v>
      </c>
      <c r="L5" s="138" t="s">
        <v>711</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63">
        <v>10</v>
      </c>
      <c r="N16" s="164"/>
      <c r="O16" s="164"/>
      <c r="P16" s="164"/>
      <c r="Q16" s="164"/>
      <c r="R16" s="164"/>
    </row>
    <row r="17" spans="2:18" ht="66">
      <c r="B17" s="165"/>
      <c r="C17" s="164"/>
      <c r="D17" s="167" t="s">
        <v>318</v>
      </c>
      <c r="E17" s="167"/>
      <c r="F17" s="167" t="s">
        <v>716</v>
      </c>
      <c r="G17" s="167" t="s">
        <v>318</v>
      </c>
      <c r="H17" s="167" t="s">
        <v>717</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812</v>
      </c>
      <c r="C33" s="164"/>
      <c r="D33" s="164"/>
      <c r="E33" s="164"/>
      <c r="F33" s="164"/>
      <c r="G33" s="164"/>
      <c r="H33" s="164"/>
      <c r="I33" s="164"/>
      <c r="J33" s="164"/>
      <c r="K33" s="164"/>
      <c r="M33" s="164"/>
      <c r="N33" s="164"/>
      <c r="O33" s="164"/>
      <c r="P33" s="164"/>
      <c r="Q33" s="164"/>
      <c r="R33" s="164"/>
    </row>
    <row r="34" spans="1:18">
      <c r="B34" s="161" t="s">
        <v>800</v>
      </c>
      <c r="C34" s="164"/>
      <c r="D34" s="164"/>
      <c r="E34" s="164"/>
      <c r="F34" s="164"/>
      <c r="G34" s="164"/>
      <c r="H34" s="164"/>
      <c r="I34" s="164"/>
      <c r="J34" s="164"/>
      <c r="K34" s="164"/>
      <c r="M34" s="164"/>
      <c r="N34" s="164"/>
      <c r="O34" s="164"/>
      <c r="P34" s="164"/>
      <c r="Q34" s="164"/>
      <c r="R34" s="164"/>
    </row>
    <row r="35" spans="1:18">
      <c r="A35" s="161" t="s">
        <v>299</v>
      </c>
      <c r="B35" s="176" t="s">
        <v>281</v>
      </c>
      <c r="C35" s="164"/>
      <c r="D35" s="164"/>
      <c r="E35" s="164"/>
      <c r="F35" s="164"/>
      <c r="G35" s="164"/>
      <c r="H35" s="164"/>
      <c r="I35" s="164"/>
      <c r="J35" s="164"/>
      <c r="K35" s="164"/>
      <c r="M35" s="164"/>
      <c r="N35" s="164"/>
      <c r="O35" s="164"/>
      <c r="P35" s="164"/>
      <c r="Q35" s="164"/>
      <c r="R35" s="164"/>
    </row>
    <row r="36" spans="1:18">
      <c r="A36" s="161" t="s">
        <v>300</v>
      </c>
      <c r="B36" s="176" t="s">
        <v>801</v>
      </c>
      <c r="C36" s="164"/>
      <c r="D36" s="164"/>
      <c r="E36" s="164"/>
      <c r="F36" s="164"/>
      <c r="G36" s="164"/>
      <c r="H36" s="164"/>
      <c r="I36" s="164"/>
      <c r="J36" s="164"/>
      <c r="K36" s="164"/>
      <c r="L36" s="164"/>
      <c r="M36" s="164"/>
      <c r="N36" s="164"/>
      <c r="O36" s="164"/>
      <c r="P36" s="164"/>
      <c r="Q36" s="164"/>
      <c r="R36" s="164"/>
    </row>
    <row r="37" spans="1:18">
      <c r="A37" s="161" t="s">
        <v>301</v>
      </c>
      <c r="B37" s="176" t="s">
        <v>789</v>
      </c>
      <c r="C37" s="164"/>
      <c r="D37" s="164"/>
      <c r="E37" s="164"/>
      <c r="F37" s="164"/>
      <c r="G37" s="164"/>
      <c r="H37" s="164"/>
      <c r="I37" s="164"/>
      <c r="J37" s="164"/>
      <c r="K37" s="164"/>
      <c r="L37" s="164"/>
      <c r="M37" s="164"/>
      <c r="N37" s="164"/>
      <c r="O37" s="164"/>
      <c r="P37" s="164"/>
      <c r="Q37" s="164"/>
      <c r="R37" s="164"/>
    </row>
    <row r="38" spans="1:18">
      <c r="A38" s="161" t="s">
        <v>302</v>
      </c>
      <c r="B38" s="176" t="s">
        <v>319</v>
      </c>
      <c r="C38" s="164"/>
      <c r="D38" s="164"/>
      <c r="E38" s="164"/>
      <c r="F38" s="164"/>
      <c r="G38" s="164"/>
      <c r="H38" s="164"/>
      <c r="I38" s="164"/>
      <c r="J38" s="164"/>
      <c r="K38" s="164"/>
      <c r="L38" s="164"/>
      <c r="M38" s="164"/>
      <c r="N38" s="164"/>
      <c r="O38" s="164"/>
      <c r="P38" s="164"/>
      <c r="Q38" s="164"/>
      <c r="R38" s="164"/>
    </row>
    <row r="39" spans="1:18">
      <c r="A39" s="161" t="s">
        <v>303</v>
      </c>
      <c r="B39" s="176" t="s">
        <v>790</v>
      </c>
      <c r="C39" s="164"/>
      <c r="D39" s="164"/>
      <c r="E39" s="164"/>
      <c r="F39" s="164"/>
      <c r="G39" s="164"/>
      <c r="H39" s="164"/>
      <c r="I39" s="164"/>
      <c r="J39" s="164"/>
      <c r="K39" s="164"/>
      <c r="L39" s="164"/>
      <c r="M39" s="164"/>
      <c r="N39" s="164"/>
      <c r="O39" s="164"/>
      <c r="P39" s="164"/>
      <c r="Q39" s="164"/>
      <c r="R39" s="164"/>
    </row>
    <row r="40" spans="1:18">
      <c r="A40" s="161" t="s">
        <v>304</v>
      </c>
      <c r="B40" s="176" t="s">
        <v>320</v>
      </c>
      <c r="C40" s="164"/>
      <c r="D40" s="164"/>
      <c r="E40" s="164"/>
      <c r="F40" s="164"/>
      <c r="G40" s="164"/>
      <c r="H40" s="164"/>
      <c r="I40" s="164"/>
      <c r="J40" s="164"/>
      <c r="K40" s="164"/>
      <c r="L40" s="164"/>
      <c r="M40" s="164"/>
      <c r="N40" s="164"/>
      <c r="O40" s="164"/>
      <c r="P40" s="164"/>
      <c r="Q40" s="164"/>
      <c r="R40" s="164"/>
    </row>
    <row r="41" spans="1:18">
      <c r="A41" s="161" t="s">
        <v>305</v>
      </c>
      <c r="B41" s="176" t="s">
        <v>981</v>
      </c>
      <c r="C41" s="164"/>
      <c r="D41" s="164"/>
      <c r="E41" s="164"/>
      <c r="F41" s="164"/>
      <c r="G41" s="164"/>
      <c r="H41" s="164"/>
      <c r="I41" s="164"/>
      <c r="J41" s="164"/>
      <c r="K41" s="164"/>
      <c r="L41" s="164"/>
      <c r="M41" s="164"/>
      <c r="N41" s="164"/>
      <c r="O41" s="164"/>
      <c r="P41" s="164"/>
      <c r="Q41" s="164"/>
      <c r="R41" s="164"/>
    </row>
    <row r="42" spans="1:18">
      <c r="A42" s="161" t="s">
        <v>306</v>
      </c>
      <c r="B42" s="176" t="s">
        <v>791</v>
      </c>
      <c r="C42" s="164"/>
      <c r="D42" s="164"/>
      <c r="E42" s="164"/>
      <c r="F42" s="164"/>
      <c r="G42" s="164"/>
      <c r="H42" s="164"/>
      <c r="I42" s="164"/>
      <c r="J42" s="164"/>
      <c r="K42" s="164"/>
      <c r="L42" s="164"/>
      <c r="M42" s="164"/>
      <c r="N42" s="164"/>
      <c r="O42" s="164"/>
      <c r="P42" s="164"/>
      <c r="Q42" s="164"/>
      <c r="R42" s="164"/>
    </row>
    <row r="43" spans="1:18">
      <c r="A43" s="161" t="s">
        <v>307</v>
      </c>
      <c r="B43" s="176" t="s">
        <v>920</v>
      </c>
      <c r="C43" s="164"/>
      <c r="D43" s="164"/>
      <c r="E43" s="164"/>
      <c r="F43" s="164"/>
      <c r="G43" s="164"/>
      <c r="H43" s="164"/>
      <c r="I43" s="164"/>
      <c r="J43" s="164"/>
      <c r="K43" s="164"/>
      <c r="L43" s="164">
        <f>COUNTA(L23:L27)</f>
        <v>5</v>
      </c>
      <c r="M43" s="164"/>
      <c r="N43" s="164"/>
      <c r="O43" s="164"/>
      <c r="P43" s="164"/>
      <c r="Q43" s="164"/>
      <c r="R43" s="164"/>
    </row>
    <row r="44" spans="1:18">
      <c r="A44" s="161" t="s">
        <v>787</v>
      </c>
      <c r="B44" s="176" t="s">
        <v>711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algorithmName="SHA-512" hashValue="qHij9AApR9EpuX5gxx2kyNSYExGRuqZBAK0JZa7uakdwQXA5puczx54JZTFAajARYeK3aGy1URB7yq/vBEkQTg==" saltValue="F+YBT0twmA8nIj/7NhtJpQ==" spinCount="100000"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workbookViewId="0"/>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458</v>
      </c>
      <c r="C1" s="189"/>
      <c r="D1" s="188"/>
      <c r="E1" s="182"/>
      <c r="F1" s="182"/>
      <c r="G1" s="182"/>
    </row>
    <row r="2" spans="1:7">
      <c r="A2" s="158" t="s">
        <v>732</v>
      </c>
      <c r="B2" s="53" t="s">
        <v>470</v>
      </c>
      <c r="C2" s="158" t="s">
        <v>825</v>
      </c>
      <c r="D2" s="182"/>
      <c r="E2" s="182"/>
      <c r="F2" s="182"/>
      <c r="G2" s="182"/>
    </row>
    <row r="3" spans="1:7">
      <c r="A3" s="158" t="s">
        <v>1215</v>
      </c>
      <c r="B3" s="193" t="s">
        <v>311</v>
      </c>
      <c r="C3" s="192" t="s">
        <v>459</v>
      </c>
      <c r="D3" s="192" t="s">
        <v>460</v>
      </c>
      <c r="E3" s="192" t="s">
        <v>461</v>
      </c>
      <c r="F3" s="193"/>
      <c r="G3" s="193"/>
    </row>
    <row r="4" spans="1:7" ht="26.4">
      <c r="B4" s="185" t="s">
        <v>270</v>
      </c>
      <c r="C4" s="760" t="s">
        <v>462</v>
      </c>
      <c r="D4" s="760" t="s">
        <v>463</v>
      </c>
      <c r="E4" s="200" t="s">
        <v>421</v>
      </c>
      <c r="F4" s="194"/>
    </row>
    <row r="5" spans="1:7" ht="52.8">
      <c r="B5" s="185" t="s">
        <v>280</v>
      </c>
      <c r="C5" s="761" t="s">
        <v>464</v>
      </c>
      <c r="D5" s="576" t="s">
        <v>471</v>
      </c>
      <c r="E5" s="612" t="s">
        <v>834</v>
      </c>
      <c r="F5" s="193"/>
      <c r="G5" s="193"/>
    </row>
    <row r="6" spans="1:7">
      <c r="B6" s="195">
        <v>1</v>
      </c>
      <c r="C6" s="756" t="s">
        <v>452</v>
      </c>
      <c r="D6" s="756" t="s">
        <v>734</v>
      </c>
      <c r="E6" s="756" t="s">
        <v>735</v>
      </c>
      <c r="F6" s="195">
        <v>1</v>
      </c>
    </row>
    <row r="7" spans="1:7">
      <c r="B7" s="195">
        <v>2</v>
      </c>
      <c r="C7" s="755"/>
      <c r="D7" s="755"/>
      <c r="E7" s="756"/>
      <c r="F7" s="195">
        <v>2</v>
      </c>
      <c r="G7" s="193"/>
    </row>
    <row r="8" spans="1:7">
      <c r="B8" s="195">
        <v>3</v>
      </c>
      <c r="C8" s="762"/>
      <c r="D8" s="755"/>
      <c r="E8" s="756"/>
      <c r="F8" s="195">
        <v>3</v>
      </c>
    </row>
    <row r="9" spans="1:7" ht="26.4">
      <c r="B9" s="195">
        <v>4</v>
      </c>
      <c r="C9" s="755" t="s">
        <v>831</v>
      </c>
      <c r="D9" s="755"/>
      <c r="E9" s="756"/>
      <c r="F9" s="195">
        <v>4</v>
      </c>
      <c r="G9" s="193"/>
    </row>
    <row r="10" spans="1:7" ht="39.6">
      <c r="B10" s="195">
        <v>5</v>
      </c>
      <c r="C10" s="758"/>
      <c r="D10" s="763"/>
      <c r="E10" s="756" t="s">
        <v>472</v>
      </c>
      <c r="F10" s="195">
        <v>5</v>
      </c>
    </row>
    <row r="11" spans="1:7" ht="26.4">
      <c r="B11" s="195">
        <v>6</v>
      </c>
      <c r="C11" s="184"/>
      <c r="D11" s="756" t="s">
        <v>826</v>
      </c>
      <c r="E11" s="756"/>
      <c r="F11" s="195">
        <v>6</v>
      </c>
      <c r="G11" s="193"/>
    </row>
    <row r="12" spans="1:7">
      <c r="B12" s="195">
        <v>7</v>
      </c>
      <c r="C12" s="758"/>
      <c r="D12" s="764"/>
      <c r="E12" s="756"/>
      <c r="F12" s="195">
        <v>7</v>
      </c>
    </row>
    <row r="13" spans="1:7" ht="39.6">
      <c r="B13" s="195">
        <v>8</v>
      </c>
      <c r="C13" s="755" t="s">
        <v>832</v>
      </c>
      <c r="D13" s="755"/>
      <c r="E13" s="756" t="s">
        <v>882</v>
      </c>
      <c r="F13" s="195">
        <v>8</v>
      </c>
      <c r="G13" s="193"/>
    </row>
    <row r="14" spans="1:7">
      <c r="B14" s="195">
        <v>9</v>
      </c>
      <c r="C14" s="755"/>
      <c r="D14" s="755"/>
      <c r="E14" s="756"/>
      <c r="F14" s="195">
        <v>9</v>
      </c>
    </row>
    <row r="15" spans="1:7" ht="26.4">
      <c r="B15" s="195">
        <v>10</v>
      </c>
      <c r="C15" s="755" t="s">
        <v>833</v>
      </c>
      <c r="D15" s="756" t="s">
        <v>827</v>
      </c>
      <c r="E15" s="756" t="s">
        <v>473</v>
      </c>
      <c r="F15" s="195">
        <v>10</v>
      </c>
      <c r="G15" s="193"/>
    </row>
    <row r="16" spans="1:7">
      <c r="B16" s="178"/>
      <c r="C16" s="182"/>
      <c r="D16" s="182"/>
      <c r="E16" s="194"/>
      <c r="F16" s="194"/>
    </row>
    <row r="17" spans="2:13" ht="39.6">
      <c r="B17" s="53" t="s">
        <v>828</v>
      </c>
      <c r="C17" s="762" t="s">
        <v>733</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336</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812</v>
      </c>
      <c r="C33" s="182"/>
      <c r="D33" s="182"/>
      <c r="E33" s="182"/>
      <c r="F33" s="182"/>
      <c r="G33" s="182"/>
    </row>
    <row r="34" spans="2:7">
      <c r="B34" s="176" t="s">
        <v>669</v>
      </c>
      <c r="C34" s="182"/>
      <c r="D34" s="182"/>
      <c r="E34" s="182"/>
      <c r="F34" s="182"/>
      <c r="G34" s="182"/>
    </row>
    <row r="35" spans="2:7">
      <c r="B35" s="176" t="s">
        <v>464</v>
      </c>
      <c r="C35" s="182"/>
      <c r="D35" s="182"/>
      <c r="E35" s="182"/>
      <c r="F35" s="182"/>
      <c r="G35" s="182"/>
    </row>
    <row r="36" spans="2:7">
      <c r="B36" s="176" t="s">
        <v>471</v>
      </c>
      <c r="C36" s="182"/>
      <c r="D36" s="182"/>
      <c r="E36" s="182"/>
      <c r="F36" s="182"/>
      <c r="G36" s="182"/>
    </row>
    <row r="37" spans="2:7">
      <c r="B37" s="176" t="s">
        <v>834</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algorithmName="SHA-512" hashValue="3oqpd7V7H4YpPIWku7pVHM2/NDdNs5MuUc1fMauT0En+4hjYXg+8hozoL9O2UAtoS00CIFYFuPwsgGdAfObmvg==" saltValue="ZSKPqQC/v5yqMVFOFC7i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workbookViewId="0"/>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732</v>
      </c>
      <c r="B2" s="53"/>
      <c r="C2" s="158" t="s">
        <v>669</v>
      </c>
      <c r="D2" s="182"/>
      <c r="E2" s="182"/>
      <c r="F2" s="182"/>
    </row>
    <row r="3" spans="1:6">
      <c r="A3" s="158" t="s">
        <v>1215</v>
      </c>
      <c r="B3" s="193" t="s">
        <v>311</v>
      </c>
      <c r="C3" s="192" t="s">
        <v>482</v>
      </c>
      <c r="D3" s="192" t="s">
        <v>483</v>
      </c>
      <c r="E3" s="193"/>
      <c r="F3" s="193"/>
    </row>
    <row r="4" spans="1:6" ht="26.4">
      <c r="B4" s="185" t="s">
        <v>270</v>
      </c>
      <c r="C4" s="760" t="s">
        <v>484</v>
      </c>
      <c r="D4" s="760" t="s">
        <v>485</v>
      </c>
      <c r="E4" s="194"/>
    </row>
    <row r="5" spans="1:6" ht="26.4">
      <c r="B5" s="185" t="s">
        <v>280</v>
      </c>
      <c r="C5" s="761" t="s">
        <v>486</v>
      </c>
      <c r="D5" s="576" t="s">
        <v>487</v>
      </c>
      <c r="E5" s="193"/>
      <c r="F5" s="193"/>
    </row>
    <row r="6" spans="1:6">
      <c r="B6" s="195">
        <v>1</v>
      </c>
      <c r="C6" s="756" t="s">
        <v>491</v>
      </c>
      <c r="D6" s="755"/>
      <c r="E6" s="195">
        <v>1</v>
      </c>
    </row>
    <row r="7" spans="1:6">
      <c r="B7" s="195">
        <v>2</v>
      </c>
      <c r="C7" s="756"/>
      <c r="D7" s="756" t="s">
        <v>492</v>
      </c>
      <c r="E7" s="195">
        <v>2</v>
      </c>
      <c r="F7" s="193"/>
    </row>
    <row r="8" spans="1:6">
      <c r="B8" s="195">
        <v>3</v>
      </c>
      <c r="D8" s="755"/>
      <c r="E8" s="195">
        <v>3</v>
      </c>
    </row>
    <row r="9" spans="1:6">
      <c r="B9" s="195">
        <v>4</v>
      </c>
      <c r="C9" s="755"/>
      <c r="D9" s="756" t="s">
        <v>493</v>
      </c>
      <c r="E9" s="195">
        <v>4</v>
      </c>
      <c r="F9" s="193"/>
    </row>
    <row r="10" spans="1:6">
      <c r="B10" s="195">
        <v>5</v>
      </c>
      <c r="C10" s="758"/>
      <c r="D10" s="763"/>
      <c r="E10" s="195">
        <v>5</v>
      </c>
    </row>
    <row r="11" spans="1:6" ht="66">
      <c r="B11" s="195">
        <v>6</v>
      </c>
      <c r="C11" s="184" t="s">
        <v>736</v>
      </c>
      <c r="D11" s="756" t="s">
        <v>494</v>
      </c>
      <c r="E11" s="195">
        <v>6</v>
      </c>
      <c r="F11" s="193"/>
    </row>
    <row r="12" spans="1:6">
      <c r="B12" s="195">
        <v>7</v>
      </c>
      <c r="C12" s="758"/>
      <c r="D12" s="764"/>
      <c r="E12" s="195">
        <v>7</v>
      </c>
    </row>
    <row r="13" spans="1:6" ht="52.8">
      <c r="B13" s="195">
        <v>8</v>
      </c>
      <c r="C13" s="756" t="s">
        <v>835</v>
      </c>
      <c r="D13" s="756" t="s">
        <v>737</v>
      </c>
      <c r="E13" s="195">
        <v>8</v>
      </c>
      <c r="F13" s="193"/>
    </row>
    <row r="14" spans="1:6">
      <c r="B14" s="195">
        <v>9</v>
      </c>
      <c r="C14" s="755"/>
      <c r="D14" s="755"/>
      <c r="E14" s="195">
        <v>9</v>
      </c>
    </row>
    <row r="15" spans="1:6" ht="39.6">
      <c r="B15" s="195">
        <v>10</v>
      </c>
      <c r="C15" s="755" t="s">
        <v>738</v>
      </c>
      <c r="D15" s="756" t="s">
        <v>739</v>
      </c>
      <c r="E15" s="195">
        <v>10</v>
      </c>
      <c r="F15" s="193"/>
    </row>
    <row r="16" spans="1:6">
      <c r="B16" s="178"/>
      <c r="C16" s="182"/>
      <c r="D16" s="182"/>
      <c r="E16" s="194"/>
    </row>
    <row r="17" spans="2:12" ht="39.6">
      <c r="B17" s="53" t="s">
        <v>836</v>
      </c>
      <c r="C17" s="762" t="s">
        <v>733</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336</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812</v>
      </c>
      <c r="C33" s="182"/>
      <c r="D33" s="182"/>
      <c r="E33" s="182"/>
      <c r="F33" s="182"/>
    </row>
    <row r="34" spans="2:6">
      <c r="B34" s="176" t="s">
        <v>669</v>
      </c>
      <c r="C34" s="182"/>
      <c r="D34" s="182"/>
      <c r="E34" s="182"/>
      <c r="F34" s="182"/>
    </row>
    <row r="35" spans="2:6">
      <c r="B35" s="176" t="s">
        <v>486</v>
      </c>
      <c r="C35" s="182"/>
      <c r="D35" s="182"/>
      <c r="E35" s="182"/>
      <c r="F35" s="182"/>
    </row>
    <row r="36" spans="2:6">
      <c r="B36" s="176" t="s">
        <v>487</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algorithmName="SHA-512" hashValue="O7YxZTsTCXZU7e/yUOsytmIuN+Ap3ZgALxsZHlEc/QROyiwKIuUxVdw+2i55egNGBJdz1zupWxjh6mKq4pMAGQ==" saltValue="aenEk/dzlU5y4bwsDIXi9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workbookViewId="0"/>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25</v>
      </c>
      <c r="C2" s="750" t="s">
        <v>838</v>
      </c>
      <c r="D2" s="181"/>
      <c r="E2" s="181"/>
      <c r="F2" s="182" t="s">
        <v>839</v>
      </c>
      <c r="G2" s="182"/>
      <c r="H2" s="182"/>
      <c r="I2" s="182"/>
      <c r="K2" s="84" t="s">
        <v>745</v>
      </c>
      <c r="L2" s="182"/>
    </row>
    <row r="3" spans="2:12" ht="26.4">
      <c r="B3" s="183" t="s">
        <v>311</v>
      </c>
      <c r="C3" s="184" t="s">
        <v>495</v>
      </c>
      <c r="D3" s="184" t="s">
        <v>496</v>
      </c>
      <c r="E3" s="184" t="s">
        <v>840</v>
      </c>
      <c r="F3" s="612" t="s">
        <v>519</v>
      </c>
      <c r="G3" s="612" t="s">
        <v>841</v>
      </c>
      <c r="H3" s="184" t="s">
        <v>520</v>
      </c>
      <c r="I3" s="184" t="s">
        <v>498</v>
      </c>
      <c r="K3" s="235" t="s">
        <v>499</v>
      </c>
      <c r="L3" s="236" t="s">
        <v>500</v>
      </c>
    </row>
    <row r="4" spans="2:12" ht="26.4">
      <c r="B4" s="185" t="s">
        <v>270</v>
      </c>
      <c r="C4" s="751" t="s">
        <v>501</v>
      </c>
      <c r="D4" s="751" t="s">
        <v>502</v>
      </c>
      <c r="E4" s="751" t="s">
        <v>503</v>
      </c>
      <c r="F4" s="751" t="s">
        <v>504</v>
      </c>
      <c r="G4" t="s">
        <v>505</v>
      </c>
      <c r="H4" s="751" t="s">
        <v>506</v>
      </c>
      <c r="I4" t="s">
        <v>507</v>
      </c>
      <c r="K4" s="237" t="s">
        <v>740</v>
      </c>
      <c r="L4" s="238" t="s">
        <v>508</v>
      </c>
    </row>
    <row r="5" spans="2:12" ht="79.2">
      <c r="B5" s="752" t="s">
        <v>280</v>
      </c>
      <c r="C5" s="753" t="s">
        <v>1170</v>
      </c>
      <c r="D5" s="753" t="s">
        <v>1171</v>
      </c>
      <c r="E5" s="753" t="s">
        <v>842</v>
      </c>
      <c r="F5" s="754" t="s">
        <v>843</v>
      </c>
      <c r="G5" s="753" t="s">
        <v>844</v>
      </c>
      <c r="H5" s="754" t="s">
        <v>486</v>
      </c>
      <c r="I5" s="754" t="s">
        <v>509</v>
      </c>
      <c r="K5" s="765" t="s">
        <v>741</v>
      </c>
      <c r="L5" s="766" t="s">
        <v>510</v>
      </c>
    </row>
    <row r="6" spans="2:12" ht="26.4">
      <c r="B6" s="179">
        <v>1</v>
      </c>
      <c r="C6" s="755" t="s">
        <v>511</v>
      </c>
      <c r="D6" s="755"/>
      <c r="E6" s="755"/>
      <c r="F6" s="755"/>
      <c r="G6" s="755"/>
      <c r="H6" s="755"/>
      <c r="I6" s="755"/>
      <c r="J6">
        <f t="shared" ref="J6:J14" si="0">B6</f>
        <v>1</v>
      </c>
      <c r="K6" s="767" t="s">
        <v>410</v>
      </c>
      <c r="L6" s="768" t="s">
        <v>512</v>
      </c>
    </row>
    <row r="7" spans="2:12" ht="52.8">
      <c r="B7" s="179">
        <v>2</v>
      </c>
      <c r="C7" s="755"/>
      <c r="D7" s="755"/>
      <c r="E7" s="755"/>
      <c r="F7" s="755"/>
      <c r="G7" s="755"/>
      <c r="H7" s="755" t="s">
        <v>845</v>
      </c>
      <c r="I7" s="755"/>
      <c r="J7">
        <f t="shared" si="0"/>
        <v>2</v>
      </c>
      <c r="K7" s="767" t="s">
        <v>742</v>
      </c>
      <c r="L7" s="769" t="s">
        <v>963</v>
      </c>
    </row>
    <row r="8" spans="2:12" ht="52.8">
      <c r="B8" s="179">
        <v>3</v>
      </c>
      <c r="C8" s="755"/>
      <c r="D8" s="755" t="s">
        <v>846</v>
      </c>
      <c r="E8" s="755"/>
      <c r="F8" s="755" t="s">
        <v>847</v>
      </c>
      <c r="G8" s="755"/>
      <c r="H8" s="755"/>
      <c r="I8" s="755"/>
      <c r="J8">
        <f t="shared" si="0"/>
        <v>3</v>
      </c>
      <c r="K8" s="767" t="s">
        <v>743</v>
      </c>
      <c r="L8" s="768" t="s">
        <v>513</v>
      </c>
    </row>
    <row r="9" spans="2:12" ht="53.4" thickBot="1">
      <c r="B9" s="179">
        <v>4</v>
      </c>
      <c r="C9" s="755"/>
      <c r="D9" s="755" t="s">
        <v>848</v>
      </c>
      <c r="E9" s="755"/>
      <c r="F9" s="756" t="s">
        <v>849</v>
      </c>
      <c r="G9" s="756"/>
      <c r="H9" s="755"/>
      <c r="I9" s="755"/>
      <c r="J9">
        <f t="shared" si="0"/>
        <v>4</v>
      </c>
      <c r="K9" s="770" t="s">
        <v>744</v>
      </c>
      <c r="L9" s="771"/>
    </row>
    <row r="10" spans="2:12">
      <c r="B10" s="179">
        <v>5</v>
      </c>
      <c r="C10" s="755"/>
      <c r="D10" s="755"/>
      <c r="E10" s="755"/>
      <c r="F10" s="755"/>
      <c r="G10" s="755"/>
      <c r="H10" s="755"/>
      <c r="I10" s="755"/>
      <c r="J10">
        <f t="shared" si="0"/>
        <v>5</v>
      </c>
      <c r="K10" s="183"/>
      <c r="L10" s="183"/>
    </row>
    <row r="11" spans="2:12" ht="52.8">
      <c r="B11" s="179">
        <v>6</v>
      </c>
      <c r="C11" s="755"/>
      <c r="D11" s="755" t="s">
        <v>850</v>
      </c>
      <c r="E11" s="755"/>
      <c r="F11" s="756" t="s">
        <v>850</v>
      </c>
      <c r="G11" s="757"/>
      <c r="H11" s="755" t="s">
        <v>851</v>
      </c>
      <c r="I11" s="755"/>
      <c r="J11">
        <f t="shared" si="0"/>
        <v>6</v>
      </c>
      <c r="K11" s="183"/>
      <c r="L11" s="183"/>
    </row>
    <row r="12" spans="2:12" ht="39.6">
      <c r="B12" s="179">
        <v>7</v>
      </c>
      <c r="C12" s="755"/>
      <c r="D12" s="755"/>
      <c r="E12" s="755" t="s">
        <v>526</v>
      </c>
      <c r="F12" s="755"/>
      <c r="G12" s="755" t="s">
        <v>852</v>
      </c>
      <c r="H12" s="755"/>
      <c r="I12" s="755"/>
      <c r="J12">
        <f t="shared" si="0"/>
        <v>7</v>
      </c>
      <c r="K12" s="183"/>
      <c r="L12" s="183"/>
    </row>
    <row r="13" spans="2:12" ht="52.8">
      <c r="B13" s="179">
        <v>8</v>
      </c>
      <c r="C13" s="755"/>
      <c r="D13" s="755" t="s">
        <v>853</v>
      </c>
      <c r="E13" s="755"/>
      <c r="F13" s="756" t="s">
        <v>854</v>
      </c>
      <c r="G13" s="758"/>
      <c r="H13" s="756" t="s">
        <v>955</v>
      </c>
      <c r="I13" s="756"/>
      <c r="J13">
        <f t="shared" si="0"/>
        <v>8</v>
      </c>
      <c r="K13" s="183"/>
      <c r="L13" s="183"/>
    </row>
    <row r="14" spans="2:12" ht="52.8">
      <c r="B14" s="179">
        <v>9</v>
      </c>
      <c r="C14" s="755"/>
      <c r="D14" s="756" t="s">
        <v>954</v>
      </c>
      <c r="E14" s="755"/>
      <c r="F14" s="755"/>
      <c r="G14" s="758"/>
      <c r="H14" s="756" t="s">
        <v>956</v>
      </c>
      <c r="I14" s="756" t="s">
        <v>263</v>
      </c>
      <c r="J14">
        <f t="shared" si="0"/>
        <v>9</v>
      </c>
      <c r="K14" s="183"/>
      <c r="L14" s="183"/>
    </row>
    <row r="15" spans="2:12" ht="26.4">
      <c r="B15" s="179">
        <v>9</v>
      </c>
      <c r="C15" s="755"/>
      <c r="D15" s="755" t="s">
        <v>855</v>
      </c>
      <c r="E15" s="755"/>
      <c r="F15" s="755"/>
      <c r="G15" s="758"/>
      <c r="H15" s="755"/>
      <c r="I15" s="758"/>
      <c r="J15">
        <v>9</v>
      </c>
      <c r="K15" s="183"/>
      <c r="L15" s="183"/>
    </row>
    <row r="16" spans="2:12" ht="52.8">
      <c r="B16" s="179">
        <v>10</v>
      </c>
      <c r="C16" s="755" t="s">
        <v>856</v>
      </c>
      <c r="D16" s="755" t="s">
        <v>857</v>
      </c>
      <c r="E16" s="755" t="s">
        <v>858</v>
      </c>
      <c r="F16" s="756" t="s">
        <v>857</v>
      </c>
      <c r="G16" s="757" t="s">
        <v>859</v>
      </c>
      <c r="H16" s="756" t="s">
        <v>962</v>
      </c>
      <c r="I16" s="756" t="s">
        <v>256</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336</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812</v>
      </c>
      <c r="C33" s="183"/>
      <c r="D33" s="183"/>
      <c r="E33" s="183"/>
      <c r="F33" s="183"/>
      <c r="G33" s="183"/>
      <c r="H33" s="183"/>
      <c r="I33" s="183"/>
      <c r="K33" s="183"/>
      <c r="L33" s="183"/>
    </row>
    <row r="34" spans="1:12">
      <c r="A34" s="158" t="s">
        <v>517</v>
      </c>
      <c r="B34" t="s">
        <v>838</v>
      </c>
      <c r="C34" s="183"/>
      <c r="D34" s="183"/>
      <c r="E34" s="183"/>
      <c r="F34" s="183"/>
      <c r="G34" s="183"/>
      <c r="H34" s="183"/>
      <c r="I34" s="183"/>
      <c r="K34" s="183"/>
      <c r="L34" s="183"/>
    </row>
    <row r="35" spans="1:12">
      <c r="A35" s="158" t="s">
        <v>495</v>
      </c>
      <c r="B35" s="176" t="s">
        <v>1170</v>
      </c>
      <c r="C35" s="183"/>
      <c r="D35" s="183"/>
      <c r="E35" s="183"/>
      <c r="F35" s="183"/>
      <c r="G35" s="183"/>
      <c r="H35" s="183"/>
      <c r="I35" s="183"/>
      <c r="K35" s="183"/>
      <c r="L35" s="183"/>
    </row>
    <row r="36" spans="1:12">
      <c r="A36" s="158" t="s">
        <v>496</v>
      </c>
      <c r="B36" s="176" t="s">
        <v>1171</v>
      </c>
      <c r="C36" s="183"/>
      <c r="D36" s="183"/>
      <c r="E36" s="183"/>
      <c r="F36" s="183"/>
      <c r="G36" s="183"/>
      <c r="H36" s="183"/>
      <c r="I36" s="183"/>
      <c r="K36" s="183"/>
      <c r="L36" s="183"/>
    </row>
    <row r="37" spans="1:12">
      <c r="A37" s="158" t="s">
        <v>518</v>
      </c>
      <c r="B37" s="176" t="s">
        <v>842</v>
      </c>
      <c r="C37" s="183"/>
      <c r="D37" s="183"/>
      <c r="E37" s="183"/>
      <c r="F37" s="183"/>
      <c r="G37" s="183"/>
      <c r="H37" s="183"/>
      <c r="I37" s="183"/>
      <c r="K37" s="183"/>
      <c r="L37" s="183"/>
    </row>
    <row r="38" spans="1:12">
      <c r="A38" s="158" t="s">
        <v>519</v>
      </c>
      <c r="B38" s="176" t="s">
        <v>843</v>
      </c>
      <c r="C38" s="183"/>
      <c r="D38" s="183"/>
      <c r="E38" s="183"/>
      <c r="F38" s="183"/>
      <c r="G38" s="183"/>
      <c r="H38" s="183"/>
      <c r="I38" s="183"/>
      <c r="K38" s="183"/>
      <c r="L38" s="183"/>
    </row>
    <row r="39" spans="1:12">
      <c r="A39" s="158" t="s">
        <v>497</v>
      </c>
      <c r="B39" s="176" t="s">
        <v>844</v>
      </c>
      <c r="C39" s="183"/>
      <c r="D39" s="183"/>
      <c r="E39" s="183"/>
      <c r="F39" s="183"/>
      <c r="G39" s="183"/>
      <c r="H39" s="183"/>
      <c r="I39" s="183"/>
      <c r="K39" s="183"/>
      <c r="L39" s="183"/>
    </row>
    <row r="40" spans="1:12">
      <c r="A40" s="158" t="s">
        <v>520</v>
      </c>
      <c r="B40" s="176" t="s">
        <v>486</v>
      </c>
      <c r="C40" s="183"/>
      <c r="D40" s="183"/>
      <c r="E40" s="183"/>
      <c r="F40" s="183"/>
      <c r="G40" s="183"/>
      <c r="H40" s="183"/>
      <c r="I40" s="183"/>
      <c r="K40" s="183"/>
      <c r="L40" s="183"/>
    </row>
    <row r="41" spans="1:12">
      <c r="A41" s="158" t="s">
        <v>498</v>
      </c>
      <c r="B41" s="176" t="s">
        <v>509</v>
      </c>
      <c r="C41" s="183"/>
      <c r="D41" s="183"/>
      <c r="E41" s="183"/>
      <c r="F41" s="183"/>
      <c r="G41" s="183"/>
      <c r="H41" s="183"/>
      <c r="I41" s="183"/>
      <c r="K41" s="183"/>
      <c r="L41" s="183"/>
    </row>
    <row r="42" spans="1:12">
      <c r="A42" s="158" t="s">
        <v>499</v>
      </c>
      <c r="B42" t="s">
        <v>741</v>
      </c>
      <c r="C42" s="183"/>
      <c r="D42" s="183"/>
      <c r="E42" s="183"/>
      <c r="F42" s="183"/>
      <c r="G42" s="183"/>
      <c r="H42" s="183"/>
      <c r="I42" s="183"/>
      <c r="K42" s="183"/>
      <c r="L42" s="183"/>
    </row>
    <row r="43" spans="1:12">
      <c r="A43" s="158" t="s">
        <v>500</v>
      </c>
      <c r="B43" s="176" t="s">
        <v>510</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algorithmName="SHA-512" hashValue="kJUJej5YS3YxZJFZJIZq60nG1fsBdtbM91x6cCWK+6OYhEDrGYjRNx+4k1/vukgGmTLrz3N0L5JnZVAydRqN9A==" saltValue="axTsTiPSogqjMtSyOhZRpg=="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178" t="s">
        <v>64</v>
      </c>
      <c r="C1" s="189"/>
      <c r="D1" s="188"/>
      <c r="E1" s="188"/>
      <c r="F1" s="188"/>
      <c r="G1" s="182"/>
      <c r="H1" s="182"/>
    </row>
    <row r="2" spans="1:8">
      <c r="A2" s="158" t="s">
        <v>732</v>
      </c>
      <c r="B2" s="53" t="s">
        <v>470</v>
      </c>
      <c r="C2" s="158" t="s">
        <v>669</v>
      </c>
      <c r="D2" s="182"/>
      <c r="E2" s="182"/>
      <c r="F2" s="182"/>
      <c r="G2" s="182"/>
      <c r="H2" s="182"/>
    </row>
    <row r="3" spans="1:8">
      <c r="A3" s="158" t="s">
        <v>1215</v>
      </c>
      <c r="B3" s="193" t="s">
        <v>311</v>
      </c>
      <c r="C3" s="192" t="s">
        <v>527</v>
      </c>
      <c r="D3" s="192" t="s">
        <v>528</v>
      </c>
      <c r="E3" s="192" t="s">
        <v>529</v>
      </c>
      <c r="F3" s="192" t="s">
        <v>530</v>
      </c>
      <c r="G3" s="193"/>
      <c r="H3" s="193"/>
    </row>
    <row r="4" spans="1:8" ht="26.4">
      <c r="B4" s="185" t="s">
        <v>270</v>
      </c>
      <c r="C4" s="760" t="s">
        <v>484</v>
      </c>
      <c r="D4" s="760" t="s">
        <v>531</v>
      </c>
      <c r="E4" s="760" t="s">
        <v>532</v>
      </c>
      <c r="F4" s="760" t="s">
        <v>533</v>
      </c>
      <c r="G4" s="194"/>
    </row>
    <row r="5" spans="1:8" ht="52.8">
      <c r="B5" s="185" t="s">
        <v>280</v>
      </c>
      <c r="C5" s="761" t="s">
        <v>486</v>
      </c>
      <c r="D5" s="576" t="s">
        <v>747</v>
      </c>
      <c r="E5" s="576" t="s">
        <v>534</v>
      </c>
      <c r="F5" s="576" t="s">
        <v>535</v>
      </c>
      <c r="G5" s="193"/>
      <c r="H5" s="193"/>
    </row>
    <row r="6" spans="1:8">
      <c r="B6" s="195">
        <v>1</v>
      </c>
      <c r="C6" s="756"/>
      <c r="D6" s="755" t="s">
        <v>410</v>
      </c>
      <c r="E6" s="755" t="s">
        <v>536</v>
      </c>
      <c r="F6" s="756" t="s">
        <v>410</v>
      </c>
      <c r="G6" s="195">
        <v>1</v>
      </c>
    </row>
    <row r="7" spans="1:8">
      <c r="B7" s="195">
        <v>2</v>
      </c>
      <c r="C7" s="756" t="s">
        <v>491</v>
      </c>
      <c r="D7" s="756"/>
      <c r="E7" s="756" t="s">
        <v>537</v>
      </c>
      <c r="F7" s="756"/>
      <c r="G7" s="195">
        <v>2</v>
      </c>
      <c r="H7" s="193"/>
    </row>
    <row r="8" spans="1:8">
      <c r="B8" s="195">
        <v>3</v>
      </c>
      <c r="C8" s="762"/>
      <c r="D8" s="755"/>
      <c r="E8" s="755"/>
      <c r="F8" s="755"/>
      <c r="G8" s="195">
        <v>3</v>
      </c>
    </row>
    <row r="9" spans="1:8">
      <c r="B9" s="195">
        <v>4</v>
      </c>
      <c r="C9" s="755"/>
      <c r="D9" s="756"/>
      <c r="E9" s="756"/>
      <c r="F9" s="756"/>
      <c r="G9" s="195">
        <v>4</v>
      </c>
      <c r="H9" s="193"/>
    </row>
    <row r="10" spans="1:8" ht="26.4">
      <c r="B10" s="195">
        <v>5</v>
      </c>
      <c r="C10" s="758"/>
      <c r="D10" s="763"/>
      <c r="E10" s="763" t="s">
        <v>538</v>
      </c>
      <c r="F10" s="763"/>
      <c r="G10" s="195">
        <v>5</v>
      </c>
    </row>
    <row r="11" spans="1:8" ht="39.6">
      <c r="B11" s="195">
        <v>6</v>
      </c>
      <c r="C11" s="612" t="s">
        <v>970</v>
      </c>
      <c r="D11" s="756"/>
      <c r="E11" s="756"/>
      <c r="F11" s="756" t="s">
        <v>539</v>
      </c>
      <c r="G11" s="195">
        <v>6</v>
      </c>
      <c r="H11" s="193"/>
    </row>
    <row r="12" spans="1:8" ht="39.6">
      <c r="B12" s="195">
        <v>7</v>
      </c>
      <c r="C12" s="758"/>
      <c r="D12" s="763" t="s">
        <v>542</v>
      </c>
      <c r="E12" s="764"/>
      <c r="F12" s="764"/>
      <c r="G12" s="195">
        <v>7</v>
      </c>
    </row>
    <row r="13" spans="1:8" ht="39.6">
      <c r="B13" s="195">
        <v>8</v>
      </c>
      <c r="C13" s="756"/>
      <c r="D13" s="756"/>
      <c r="E13" s="756"/>
      <c r="F13" s="756" t="s">
        <v>651</v>
      </c>
      <c r="G13" s="195">
        <v>8</v>
      </c>
      <c r="H13" s="193"/>
    </row>
    <row r="14" spans="1:8">
      <c r="B14" s="195">
        <v>9</v>
      </c>
      <c r="C14" s="755"/>
      <c r="D14" s="755"/>
      <c r="E14" s="755"/>
      <c r="F14" s="755"/>
      <c r="G14" s="195">
        <v>9</v>
      </c>
    </row>
    <row r="15" spans="1:8" ht="39.6">
      <c r="B15" s="195">
        <v>10</v>
      </c>
      <c r="C15" s="755" t="s">
        <v>540</v>
      </c>
      <c r="D15" s="756" t="s">
        <v>543</v>
      </c>
      <c r="E15" s="756" t="s">
        <v>541</v>
      </c>
      <c r="F15" s="756" t="s">
        <v>652</v>
      </c>
      <c r="G15" s="195">
        <v>10</v>
      </c>
      <c r="H15" s="193"/>
    </row>
    <row r="16" spans="1:8">
      <c r="B16" s="178"/>
      <c r="C16" s="182"/>
      <c r="D16" s="182"/>
      <c r="E16" s="182"/>
      <c r="F16" s="182"/>
      <c r="G16" s="194"/>
    </row>
    <row r="17" spans="2:14" ht="26.4">
      <c r="B17" s="53" t="s">
        <v>836</v>
      </c>
      <c r="C17" s="762" t="s">
        <v>733</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669</v>
      </c>
      <c r="C34" s="182"/>
      <c r="D34" s="182"/>
      <c r="E34" s="182"/>
      <c r="F34" s="182"/>
      <c r="G34" s="182"/>
      <c r="H34" s="182"/>
    </row>
    <row r="35" spans="2:8">
      <c r="B35" s="176" t="s">
        <v>486</v>
      </c>
      <c r="C35" s="182"/>
      <c r="D35" s="182"/>
      <c r="E35" s="182"/>
      <c r="F35" s="182"/>
      <c r="G35" s="182"/>
      <c r="H35" s="182"/>
    </row>
    <row r="36" spans="2:8">
      <c r="B36" s="176" t="s">
        <v>747</v>
      </c>
      <c r="C36" s="182"/>
      <c r="D36" s="182"/>
      <c r="E36" s="182"/>
      <c r="F36" s="182"/>
      <c r="G36" s="182"/>
      <c r="H36" s="182"/>
    </row>
    <row r="37" spans="2:8">
      <c r="B37" s="176" t="s">
        <v>534</v>
      </c>
      <c r="C37" s="182"/>
      <c r="D37" s="182"/>
      <c r="E37" s="182"/>
      <c r="F37" s="182"/>
      <c r="G37" s="182"/>
      <c r="H37" s="182"/>
    </row>
    <row r="38" spans="2:8">
      <c r="B38" s="176" t="s">
        <v>535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Kd9Rvq1pgr6n6dvhQDrym7pn8uJImDQmMw0F7GNKh4T8N+rVPRXH4WEnnuBGTOoRoOij1uMWW/uibjwTQwU+eQ==" saltValue="XepySGryH/SznwH5HLSp5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workbookViewId="0"/>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547</v>
      </c>
      <c r="C1" s="198"/>
      <c r="D1" s="199"/>
      <c r="E1" s="199"/>
      <c r="F1" s="199"/>
      <c r="G1" s="182"/>
      <c r="H1" s="182"/>
    </row>
    <row r="2" spans="2:8">
      <c r="D2" s="158"/>
      <c r="E2" s="158"/>
      <c r="F2" s="158"/>
      <c r="G2" s="182"/>
      <c r="H2" s="182"/>
    </row>
    <row r="3" spans="2:8">
      <c r="B3" s="192" t="s">
        <v>311</v>
      </c>
      <c r="C3" s="192" t="s">
        <v>557</v>
      </c>
      <c r="D3" s="192" t="s">
        <v>558</v>
      </c>
      <c r="E3" s="192" t="s">
        <v>559</v>
      </c>
      <c r="F3" s="192" t="s">
        <v>560</v>
      </c>
      <c r="G3" s="193"/>
      <c r="H3" s="193"/>
    </row>
    <row r="4" spans="2:8" ht="26.4">
      <c r="B4" s="200" t="s">
        <v>270</v>
      </c>
      <c r="C4" s="760" t="s">
        <v>484</v>
      </c>
      <c r="D4" s="760" t="s">
        <v>550</v>
      </c>
      <c r="E4" s="760" t="s">
        <v>548</v>
      </c>
      <c r="F4" s="760" t="s">
        <v>549</v>
      </c>
      <c r="G4" s="194"/>
    </row>
    <row r="5" spans="2:8" ht="39.6">
      <c r="B5" s="200" t="s">
        <v>280</v>
      </c>
      <c r="C5" s="576" t="s">
        <v>553</v>
      </c>
      <c r="D5" s="576" t="s">
        <v>748</v>
      </c>
      <c r="E5" s="576" t="s">
        <v>551</v>
      </c>
      <c r="F5" s="576" t="s">
        <v>552</v>
      </c>
      <c r="G5" s="193"/>
      <c r="H5" s="193"/>
    </row>
    <row r="6" spans="2:8">
      <c r="B6" s="201">
        <v>1</v>
      </c>
      <c r="C6" s="756" t="s">
        <v>491</v>
      </c>
      <c r="D6" s="756"/>
      <c r="E6" s="756"/>
      <c r="F6" s="756"/>
      <c r="G6" s="195">
        <v>1</v>
      </c>
    </row>
    <row r="7" spans="2:8">
      <c r="B7" s="201">
        <v>2</v>
      </c>
      <c r="C7" s="756"/>
      <c r="D7" s="756"/>
      <c r="E7" s="756"/>
      <c r="F7" s="756"/>
      <c r="G7" s="195">
        <v>2</v>
      </c>
      <c r="H7" s="193"/>
    </row>
    <row r="8" spans="2:8" ht="26.4">
      <c r="B8" s="201">
        <v>3</v>
      </c>
      <c r="C8" s="612"/>
      <c r="D8" s="756"/>
      <c r="E8" s="756" t="s">
        <v>861</v>
      </c>
      <c r="F8" s="756"/>
      <c r="G8" s="195">
        <v>3</v>
      </c>
    </row>
    <row r="9" spans="2:8">
      <c r="B9" s="201">
        <v>4</v>
      </c>
      <c r="C9" s="756"/>
      <c r="D9" s="756"/>
      <c r="E9" s="756"/>
      <c r="F9" s="756"/>
      <c r="G9" s="195">
        <v>4</v>
      </c>
      <c r="H9" s="193"/>
    </row>
    <row r="10" spans="2:8">
      <c r="B10" s="201">
        <v>5</v>
      </c>
      <c r="C10" s="756"/>
      <c r="D10" s="763"/>
      <c r="E10" s="763"/>
      <c r="F10" s="763"/>
      <c r="G10" s="195">
        <v>5</v>
      </c>
    </row>
    <row r="11" spans="2:8" ht="26.4">
      <c r="B11" s="201">
        <v>6</v>
      </c>
      <c r="C11" s="612"/>
      <c r="D11" s="756"/>
      <c r="E11" s="756" t="s">
        <v>960</v>
      </c>
      <c r="F11" s="756"/>
      <c r="G11" s="195">
        <v>6</v>
      </c>
      <c r="H11" s="193"/>
    </row>
    <row r="12" spans="2:8">
      <c r="B12" s="201">
        <v>7</v>
      </c>
      <c r="C12" s="756"/>
      <c r="D12" s="763"/>
      <c r="E12" s="763"/>
      <c r="F12" s="763" t="s">
        <v>554</v>
      </c>
      <c r="G12" s="195">
        <v>7</v>
      </c>
    </row>
    <row r="13" spans="2:8">
      <c r="B13" s="201">
        <v>8</v>
      </c>
      <c r="C13" s="756"/>
      <c r="D13" s="756" t="s">
        <v>263</v>
      </c>
      <c r="E13" s="756"/>
      <c r="F13" s="756"/>
      <c r="G13" s="195">
        <v>8</v>
      </c>
      <c r="H13" s="193"/>
    </row>
    <row r="14" spans="2:8">
      <c r="B14" s="201">
        <v>9</v>
      </c>
      <c r="C14" s="756"/>
      <c r="D14" s="756"/>
      <c r="E14" s="756"/>
      <c r="F14" s="756"/>
      <c r="G14" s="195">
        <v>9</v>
      </c>
    </row>
    <row r="15" spans="2:8" ht="26.4">
      <c r="B15" s="201">
        <v>10</v>
      </c>
      <c r="C15" s="756" t="s">
        <v>556</v>
      </c>
      <c r="D15" s="756" t="s">
        <v>256</v>
      </c>
      <c r="E15" s="756" t="s">
        <v>961</v>
      </c>
      <c r="F15" s="756" t="s">
        <v>953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c r="C34" s="182"/>
      <c r="D34" s="182"/>
      <c r="E34" s="182"/>
      <c r="F34" s="182"/>
      <c r="G34" s="182"/>
      <c r="H34" s="182"/>
    </row>
    <row r="35" spans="2:8">
      <c r="B35" s="176" t="s">
        <v>553</v>
      </c>
      <c r="C35" s="182"/>
      <c r="D35" s="182"/>
      <c r="E35" s="182"/>
      <c r="F35" s="182"/>
      <c r="G35" s="182"/>
      <c r="H35" s="182"/>
    </row>
    <row r="36" spans="2:8">
      <c r="B36" s="176" t="s">
        <v>748</v>
      </c>
      <c r="C36" s="182"/>
      <c r="D36" s="182"/>
      <c r="E36" s="182"/>
      <c r="F36" s="182"/>
      <c r="G36" s="182"/>
      <c r="H36" s="182"/>
    </row>
    <row r="37" spans="2:8">
      <c r="B37" s="176" t="s">
        <v>551</v>
      </c>
      <c r="C37" s="182"/>
      <c r="D37" s="182"/>
      <c r="E37" s="182"/>
      <c r="F37" s="182"/>
      <c r="G37" s="182"/>
      <c r="H37" s="182"/>
    </row>
    <row r="38" spans="2:8">
      <c r="B38" s="176" t="s">
        <v>552</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1ZgT2KXfy/hSda4CEOiVm1FC9Hggi0aNteKlF1YbC0HjwOzjyhP9UfRKKc+OR6rBsUV1Eu2VEqazLfv7WYimA==" saltValue="QLhQ08X+6CS4o/UZ4xPLdw==" spinCount="100000"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workbookViewId="0"/>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563</v>
      </c>
      <c r="C1" s="198"/>
      <c r="D1" s="199"/>
      <c r="E1" s="199"/>
      <c r="F1" s="199"/>
      <c r="G1" s="199"/>
      <c r="H1" s="182"/>
      <c r="I1" s="182"/>
    </row>
    <row r="2" spans="2:9">
      <c r="D2" s="158"/>
      <c r="E2" s="158"/>
      <c r="F2" s="158"/>
      <c r="G2" s="158"/>
      <c r="H2" s="182"/>
      <c r="I2" s="182"/>
    </row>
    <row r="3" spans="2:9">
      <c r="B3" s="192" t="s">
        <v>311</v>
      </c>
      <c r="C3" s="192" t="s">
        <v>564</v>
      </c>
      <c r="D3" s="192" t="s">
        <v>565</v>
      </c>
      <c r="E3" s="192" t="s">
        <v>566</v>
      </c>
      <c r="F3" s="192" t="s">
        <v>567</v>
      </c>
      <c r="G3" s="192" t="s">
        <v>568</v>
      </c>
      <c r="H3" s="193"/>
      <c r="I3" s="193"/>
    </row>
    <row r="4" spans="2:9" ht="26.4">
      <c r="B4" s="200" t="s">
        <v>270</v>
      </c>
      <c r="C4" s="760" t="s">
        <v>484</v>
      </c>
      <c r="D4" s="760" t="s">
        <v>569</v>
      </c>
      <c r="E4" s="760" t="s">
        <v>569</v>
      </c>
      <c r="F4" s="760" t="s">
        <v>548</v>
      </c>
      <c r="G4" s="760" t="s">
        <v>549</v>
      </c>
      <c r="H4" s="194"/>
    </row>
    <row r="5" spans="2:9" ht="66">
      <c r="B5" s="200" t="s">
        <v>280</v>
      </c>
      <c r="C5" s="576" t="s">
        <v>553</v>
      </c>
      <c r="D5" s="576" t="s">
        <v>570</v>
      </c>
      <c r="E5" s="576" t="s">
        <v>973</v>
      </c>
      <c r="F5" s="576" t="s">
        <v>864</v>
      </c>
      <c r="G5" s="576" t="s">
        <v>749</v>
      </c>
      <c r="H5" s="193"/>
      <c r="I5" s="193"/>
    </row>
    <row r="6" spans="2:9" ht="26.4">
      <c r="B6" s="201">
        <v>1</v>
      </c>
      <c r="C6" s="756"/>
      <c r="D6" s="756"/>
      <c r="E6" s="756"/>
      <c r="F6" s="756" t="s">
        <v>750</v>
      </c>
      <c r="G6" s="756"/>
      <c r="H6" s="195">
        <v>1</v>
      </c>
    </row>
    <row r="7" spans="2:9">
      <c r="B7" s="201">
        <v>2</v>
      </c>
      <c r="C7" s="756" t="s">
        <v>491</v>
      </c>
      <c r="D7" s="756"/>
      <c r="E7" s="756"/>
      <c r="F7" s="756"/>
      <c r="G7" s="756"/>
      <c r="H7" s="195">
        <v>2</v>
      </c>
      <c r="I7" s="193"/>
    </row>
    <row r="8" spans="2:9">
      <c r="B8" s="201">
        <v>3</v>
      </c>
      <c r="C8" s="612"/>
      <c r="D8" s="756"/>
      <c r="E8" s="756"/>
      <c r="F8" s="756"/>
      <c r="G8" s="756"/>
      <c r="H8" s="195">
        <v>3</v>
      </c>
    </row>
    <row r="9" spans="2:9">
      <c r="B9" s="201">
        <v>4</v>
      </c>
      <c r="C9" s="756"/>
      <c r="D9" s="756" t="s">
        <v>571</v>
      </c>
      <c r="E9" s="756"/>
      <c r="F9" s="756"/>
      <c r="G9" s="756"/>
      <c r="H9" s="195">
        <v>4</v>
      </c>
      <c r="I9" s="193"/>
    </row>
    <row r="10" spans="2:9">
      <c r="B10" s="201">
        <v>5</v>
      </c>
      <c r="C10" s="756"/>
      <c r="D10" s="763"/>
      <c r="E10" s="763" t="s">
        <v>263</v>
      </c>
      <c r="F10" s="763"/>
      <c r="G10" s="763" t="s">
        <v>554</v>
      </c>
      <c r="H10" s="195">
        <v>5</v>
      </c>
    </row>
    <row r="11" spans="2:9" ht="39.6">
      <c r="B11" s="201">
        <v>6</v>
      </c>
      <c r="C11" s="612"/>
      <c r="D11" s="756"/>
      <c r="E11" s="756"/>
      <c r="F11" s="756" t="s">
        <v>751</v>
      </c>
      <c r="G11" s="756"/>
      <c r="H11" s="195">
        <v>6</v>
      </c>
      <c r="I11" s="193"/>
    </row>
    <row r="12" spans="2:9">
      <c r="B12" s="201">
        <v>7</v>
      </c>
      <c r="C12" s="756"/>
      <c r="D12" s="763"/>
      <c r="E12" s="763"/>
      <c r="F12" s="763"/>
      <c r="G12" s="763"/>
      <c r="H12" s="195">
        <v>7</v>
      </c>
    </row>
    <row r="13" spans="2:9" ht="52.8">
      <c r="B13" s="201">
        <v>8</v>
      </c>
      <c r="C13" s="756"/>
      <c r="D13" s="756" t="s">
        <v>572</v>
      </c>
      <c r="E13" s="756"/>
      <c r="F13" s="756"/>
      <c r="G13" s="756" t="s">
        <v>951</v>
      </c>
      <c r="H13" s="195">
        <v>8</v>
      </c>
      <c r="I13" s="193"/>
    </row>
    <row r="14" spans="2:9">
      <c r="B14" s="201">
        <v>9</v>
      </c>
      <c r="C14" s="756"/>
      <c r="D14" s="756"/>
      <c r="E14" s="756"/>
      <c r="F14" s="756"/>
      <c r="G14" s="756"/>
      <c r="H14" s="195">
        <v>9</v>
      </c>
    </row>
    <row r="15" spans="2:9" ht="39.6">
      <c r="B15" s="201">
        <v>10</v>
      </c>
      <c r="C15" s="756" t="s">
        <v>573</v>
      </c>
      <c r="D15" s="756" t="s">
        <v>860</v>
      </c>
      <c r="E15" s="756" t="s">
        <v>256</v>
      </c>
      <c r="F15" s="756" t="s">
        <v>959</v>
      </c>
      <c r="G15" s="756" t="s">
        <v>952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336</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812</v>
      </c>
      <c r="C33" s="182"/>
      <c r="D33" s="182"/>
      <c r="E33" s="182"/>
      <c r="F33" s="182"/>
      <c r="G33" s="182"/>
      <c r="H33" s="182"/>
      <c r="I33" s="182"/>
    </row>
    <row r="34" spans="2:9">
      <c r="B34" s="176"/>
      <c r="C34" s="182"/>
      <c r="D34" s="182"/>
      <c r="E34" s="182"/>
      <c r="F34" s="182"/>
      <c r="G34" s="182"/>
      <c r="H34" s="182"/>
      <c r="I34" s="182"/>
    </row>
    <row r="35" spans="2:9">
      <c r="B35" s="176" t="s">
        <v>553</v>
      </c>
      <c r="C35" s="182"/>
      <c r="D35" s="182"/>
      <c r="E35" s="182"/>
      <c r="F35" s="182"/>
      <c r="G35" s="182"/>
      <c r="H35" s="182"/>
      <c r="I35" s="182"/>
    </row>
    <row r="36" spans="2:9">
      <c r="B36" s="176" t="s">
        <v>570</v>
      </c>
      <c r="C36" s="182"/>
      <c r="D36" s="182"/>
      <c r="E36" s="182"/>
      <c r="F36" s="182"/>
      <c r="G36" s="182"/>
      <c r="H36" s="182"/>
      <c r="I36" s="182"/>
    </row>
    <row r="37" spans="2:9">
      <c r="B37" s="176" t="s">
        <v>973</v>
      </c>
      <c r="C37" s="182"/>
      <c r="D37" s="182"/>
      <c r="E37" s="182"/>
      <c r="F37" s="182"/>
      <c r="G37" s="182"/>
      <c r="H37" s="182"/>
      <c r="I37" s="182"/>
    </row>
    <row r="38" spans="2:9">
      <c r="B38" s="176" t="s">
        <v>864</v>
      </c>
      <c r="C38" s="182"/>
      <c r="D38" s="182"/>
      <c r="E38" s="182"/>
      <c r="F38" s="182"/>
      <c r="G38" s="182"/>
      <c r="H38" s="182"/>
      <c r="I38" s="182"/>
    </row>
    <row r="39" spans="2:9">
      <c r="B39" s="176" t="s">
        <v>749</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algorithmName="SHA-512" hashValue="KfHLeVVEjDbj9tmwcA8Ew7iPVW1m4UcgXeKjMZQBfZdIqu2Bxo74pxp2DM8FRi3Fl54rnpXAOjL/vqXwboSfUQ==" saltValue="NMtP3hZJ1W00kcDf0+Q6tw==" spinCount="100000"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53" t="s">
        <v>576</v>
      </c>
      <c r="C1" s="198"/>
      <c r="D1" s="199"/>
      <c r="E1" s="199"/>
      <c r="F1" s="199"/>
      <c r="G1" s="182"/>
      <c r="H1" s="182"/>
    </row>
    <row r="2" spans="1:8">
      <c r="A2" s="158" t="s">
        <v>263</v>
      </c>
      <c r="B2" t="s">
        <v>25</v>
      </c>
      <c r="C2" s="158" t="s">
        <v>146</v>
      </c>
      <c r="D2" s="158"/>
      <c r="E2" s="158"/>
      <c r="F2" s="158"/>
      <c r="G2" s="182"/>
      <c r="H2" s="182"/>
    </row>
    <row r="3" spans="1:8">
      <c r="A3" s="158" t="s">
        <v>256</v>
      </c>
      <c r="B3" s="192" t="s">
        <v>311</v>
      </c>
      <c r="C3" s="192" t="s">
        <v>577</v>
      </c>
      <c r="D3" s="192" t="s">
        <v>578</v>
      </c>
      <c r="E3" s="192" t="s">
        <v>579</v>
      </c>
      <c r="F3" s="192" t="s">
        <v>580</v>
      </c>
      <c r="G3" s="193"/>
      <c r="H3" s="193"/>
    </row>
    <row r="4" spans="1:8" ht="26.4">
      <c r="B4" s="200" t="s">
        <v>270</v>
      </c>
      <c r="C4" s="760" t="s">
        <v>484</v>
      </c>
      <c r="D4" s="760" t="s">
        <v>581</v>
      </c>
      <c r="E4" s="760" t="s">
        <v>549</v>
      </c>
      <c r="F4" s="760" t="s">
        <v>582</v>
      </c>
      <c r="G4" s="194"/>
    </row>
    <row r="5" spans="1:8" ht="39.6">
      <c r="B5" s="200" t="s">
        <v>280</v>
      </c>
      <c r="C5" s="576" t="s">
        <v>553</v>
      </c>
      <c r="D5" s="576" t="s">
        <v>583</v>
      </c>
      <c r="E5" s="576" t="s">
        <v>584</v>
      </c>
      <c r="F5" s="576" t="s">
        <v>585</v>
      </c>
      <c r="G5" s="193"/>
      <c r="H5" s="193"/>
    </row>
    <row r="6" spans="1:8" ht="26.4">
      <c r="B6" s="201">
        <v>1</v>
      </c>
      <c r="C6" s="756" t="s">
        <v>491</v>
      </c>
      <c r="D6" s="756" t="s">
        <v>863</v>
      </c>
      <c r="E6" s="756"/>
      <c r="F6" s="756" t="s">
        <v>536</v>
      </c>
      <c r="G6" s="195">
        <v>1</v>
      </c>
    </row>
    <row r="7" spans="1:8">
      <c r="B7" s="201">
        <v>2</v>
      </c>
      <c r="C7" s="756"/>
      <c r="D7" s="756"/>
      <c r="E7" s="756"/>
      <c r="F7" s="756" t="s">
        <v>537</v>
      </c>
      <c r="G7" s="195">
        <v>2</v>
      </c>
      <c r="H7" s="193"/>
    </row>
    <row r="8" spans="1:8">
      <c r="B8" s="201">
        <v>3</v>
      </c>
      <c r="C8" s="612"/>
      <c r="D8" s="756"/>
      <c r="E8" s="756"/>
      <c r="F8" s="756"/>
      <c r="G8" s="195">
        <v>3</v>
      </c>
    </row>
    <row r="9" spans="1:8">
      <c r="B9" s="201">
        <v>4</v>
      </c>
      <c r="C9" s="756"/>
      <c r="D9" s="756"/>
      <c r="E9" s="756"/>
      <c r="F9" s="756"/>
      <c r="G9" s="195">
        <v>4</v>
      </c>
      <c r="H9" s="193"/>
    </row>
    <row r="10" spans="1:8">
      <c r="B10" s="201">
        <v>5</v>
      </c>
      <c r="C10" s="756"/>
      <c r="D10" s="763"/>
      <c r="E10" s="763"/>
      <c r="F10" s="763"/>
      <c r="G10" s="195">
        <v>5</v>
      </c>
    </row>
    <row r="11" spans="1:8" ht="39.6">
      <c r="B11" s="201">
        <v>6</v>
      </c>
      <c r="C11" s="612"/>
      <c r="D11" s="756" t="s">
        <v>957</v>
      </c>
      <c r="E11" s="756"/>
      <c r="F11" s="756" t="s">
        <v>586</v>
      </c>
      <c r="G11" s="195">
        <v>6</v>
      </c>
      <c r="H11" s="193"/>
    </row>
    <row r="12" spans="1:8" ht="26.4">
      <c r="B12" s="201">
        <v>7</v>
      </c>
      <c r="C12" s="756" t="s">
        <v>884</v>
      </c>
      <c r="D12" s="763"/>
      <c r="E12" s="763"/>
      <c r="F12" s="763"/>
      <c r="G12" s="195">
        <v>7</v>
      </c>
    </row>
    <row r="13" spans="1:8">
      <c r="B13" s="201">
        <v>8</v>
      </c>
      <c r="C13" s="756"/>
      <c r="D13" s="756"/>
      <c r="E13" s="756" t="s">
        <v>554</v>
      </c>
      <c r="F13" s="756"/>
      <c r="G13" s="195">
        <v>8</v>
      </c>
      <c r="H13" s="193"/>
    </row>
    <row r="14" spans="1:8">
      <c r="B14" s="201">
        <v>9</v>
      </c>
      <c r="C14" s="756"/>
      <c r="D14" s="756"/>
      <c r="E14" s="756"/>
      <c r="F14" s="756"/>
      <c r="G14" s="195">
        <v>9</v>
      </c>
    </row>
    <row r="15" spans="1:8" ht="26.4">
      <c r="B15" s="201">
        <v>10</v>
      </c>
      <c r="C15" s="756" t="s">
        <v>587</v>
      </c>
      <c r="D15" s="756" t="s">
        <v>958</v>
      </c>
      <c r="E15" s="756" t="s">
        <v>555</v>
      </c>
      <c r="F15" s="756" t="s">
        <v>541</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146</v>
      </c>
      <c r="C34" s="182"/>
      <c r="D34" s="182"/>
      <c r="E34" s="182"/>
      <c r="F34" s="182"/>
      <c r="G34" s="182"/>
      <c r="H34" s="182"/>
    </row>
    <row r="35" spans="2:8">
      <c r="B35" s="176" t="s">
        <v>553</v>
      </c>
      <c r="C35" s="182"/>
      <c r="D35" s="182"/>
      <c r="E35" s="182"/>
      <c r="F35" s="182"/>
      <c r="G35" s="182"/>
      <c r="H35" s="182"/>
    </row>
    <row r="36" spans="2:8">
      <c r="B36" s="176" t="s">
        <v>583</v>
      </c>
      <c r="C36" s="182"/>
      <c r="D36" s="182"/>
      <c r="E36" s="182"/>
      <c r="F36" s="182"/>
      <c r="G36" s="182"/>
      <c r="H36" s="182"/>
    </row>
    <row r="37" spans="2:8">
      <c r="B37" s="176" t="s">
        <v>584</v>
      </c>
      <c r="C37" s="182"/>
      <c r="D37" s="182"/>
      <c r="E37" s="182"/>
      <c r="F37" s="182"/>
      <c r="G37" s="182"/>
      <c r="H37" s="182"/>
    </row>
    <row r="38" spans="2:8">
      <c r="B38" s="176" t="s">
        <v>585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SiKlv+UazmipyWbeFt8Y19NLPqiuHo/gP8DucUZYvzR9YMuuWhKbyn1Z3STLnXbNWAE4itnKcxnTRjR7GRw5g==" saltValue="1tHiA+LU8d1BHFqPHKb51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workbookViewId="0"/>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591</v>
      </c>
      <c r="C1" s="198"/>
      <c r="D1" s="199"/>
      <c r="E1" s="205" t="s">
        <v>310</v>
      </c>
      <c r="F1" s="199"/>
      <c r="H1" s="182"/>
    </row>
    <row r="2" spans="2:8">
      <c r="B2" s="158"/>
      <c r="F2" s="239" t="s">
        <v>310</v>
      </c>
      <c r="H2" s="182"/>
    </row>
    <row r="3" spans="2:8">
      <c r="B3" s="192" t="s">
        <v>311</v>
      </c>
      <c r="C3" s="192" t="s">
        <v>608</v>
      </c>
      <c r="D3" s="192" t="s">
        <v>609</v>
      </c>
      <c r="E3" s="192" t="s">
        <v>610</v>
      </c>
      <c r="F3" s="192" t="s">
        <v>613</v>
      </c>
      <c r="G3" s="192" t="s">
        <v>612</v>
      </c>
      <c r="H3" s="193"/>
    </row>
    <row r="4" spans="2:8" ht="26.4">
      <c r="B4" s="200" t="s">
        <v>270</v>
      </c>
      <c r="C4" s="760" t="s">
        <v>592</v>
      </c>
      <c r="D4" s="760" t="s">
        <v>593</v>
      </c>
      <c r="E4" s="760" t="s">
        <v>594</v>
      </c>
      <c r="F4" s="760" t="s">
        <v>595</v>
      </c>
      <c r="G4" s="202" t="s">
        <v>484</v>
      </c>
    </row>
    <row r="5" spans="2:8" ht="52.8">
      <c r="B5" s="200" t="s">
        <v>280</v>
      </c>
      <c r="C5" s="576" t="s">
        <v>596</v>
      </c>
      <c r="D5" s="576" t="s">
        <v>597</v>
      </c>
      <c r="E5" s="576" t="s">
        <v>752</v>
      </c>
      <c r="F5" s="576" t="s">
        <v>865</v>
      </c>
      <c r="G5" s="763" t="s">
        <v>553</v>
      </c>
      <c r="H5" s="193"/>
    </row>
    <row r="6" spans="2:8">
      <c r="B6" s="203">
        <v>1</v>
      </c>
      <c r="C6" s="756"/>
      <c r="D6" s="756"/>
      <c r="E6" s="756"/>
      <c r="F6" s="756"/>
      <c r="G6" s="763"/>
      <c r="H6" s="203">
        <v>1</v>
      </c>
    </row>
    <row r="7" spans="2:8">
      <c r="B7" s="203">
        <v>2</v>
      </c>
      <c r="C7" s="756"/>
      <c r="D7" s="756"/>
      <c r="E7" s="756"/>
      <c r="F7" s="756"/>
      <c r="G7" s="763"/>
      <c r="H7" s="203">
        <v>2</v>
      </c>
    </row>
    <row r="8" spans="2:8">
      <c r="B8" s="203">
        <v>3</v>
      </c>
      <c r="D8" s="756"/>
      <c r="F8" s="756"/>
      <c r="G8" s="763" t="s">
        <v>491</v>
      </c>
      <c r="H8" s="203">
        <v>3</v>
      </c>
    </row>
    <row r="9" spans="2:8">
      <c r="B9" s="203">
        <v>4</v>
      </c>
      <c r="C9" s="756"/>
      <c r="D9" s="756"/>
      <c r="E9" s="756"/>
      <c r="F9" s="756"/>
      <c r="G9" s="763"/>
      <c r="H9" s="203">
        <v>4</v>
      </c>
    </row>
    <row r="10" spans="2:8" ht="39.6">
      <c r="B10" s="203">
        <v>5</v>
      </c>
      <c r="C10" s="756"/>
      <c r="D10" s="763"/>
      <c r="F10" s="763"/>
      <c r="G10" s="763" t="s">
        <v>900</v>
      </c>
      <c r="H10" s="203">
        <v>5</v>
      </c>
    </row>
    <row r="11" spans="2:8" ht="26.4">
      <c r="B11" s="203">
        <v>6</v>
      </c>
      <c r="C11" s="612" t="s">
        <v>978</v>
      </c>
      <c r="D11" s="756"/>
      <c r="E11" s="756" t="s">
        <v>598</v>
      </c>
      <c r="F11" s="756"/>
      <c r="G11" s="763"/>
      <c r="H11" s="203">
        <v>6</v>
      </c>
    </row>
    <row r="12" spans="2:8" ht="39.6">
      <c r="B12" s="203">
        <v>7</v>
      </c>
      <c r="C12" s="756"/>
      <c r="D12" s="763"/>
      <c r="F12" s="763" t="s">
        <v>601</v>
      </c>
      <c r="G12" s="763" t="s">
        <v>602</v>
      </c>
      <c r="H12" s="203">
        <v>7</v>
      </c>
    </row>
    <row r="13" spans="2:8" ht="39.6">
      <c r="B13" s="203">
        <v>8</v>
      </c>
      <c r="C13" s="756" t="s">
        <v>979</v>
      </c>
      <c r="D13" s="756" t="s">
        <v>599</v>
      </c>
      <c r="E13" s="763" t="s">
        <v>753</v>
      </c>
      <c r="F13" s="756"/>
      <c r="G13" s="763"/>
      <c r="H13" s="203">
        <v>8</v>
      </c>
    </row>
    <row r="14" spans="2:8" ht="52.8">
      <c r="B14" s="203">
        <v>9</v>
      </c>
      <c r="C14" s="756"/>
      <c r="D14" s="756"/>
      <c r="E14" s="763" t="s">
        <v>600</v>
      </c>
      <c r="F14" s="756" t="s">
        <v>603</v>
      </c>
      <c r="G14" s="763" t="s">
        <v>604</v>
      </c>
      <c r="H14" s="203">
        <v>9</v>
      </c>
    </row>
    <row r="15" spans="2:8" ht="39.6">
      <c r="B15" s="203">
        <v>9</v>
      </c>
      <c r="C15" s="756"/>
      <c r="D15" s="756"/>
      <c r="E15" s="756"/>
      <c r="F15" s="756"/>
      <c r="G15" s="772" t="s">
        <v>710</v>
      </c>
      <c r="H15" s="203">
        <v>9</v>
      </c>
    </row>
    <row r="16" spans="2:8" ht="39.6">
      <c r="B16" s="204">
        <v>10</v>
      </c>
      <c r="C16" s="772" t="s">
        <v>980</v>
      </c>
      <c r="D16" s="763" t="s">
        <v>605</v>
      </c>
      <c r="E16" s="763" t="s">
        <v>606</v>
      </c>
      <c r="F16" s="763" t="s">
        <v>885</v>
      </c>
      <c r="G16" s="763" t="s">
        <v>607</v>
      </c>
      <c r="H16" s="204">
        <v>10</v>
      </c>
    </row>
    <row r="17" spans="2:14" ht="26.4">
      <c r="B17" s="204">
        <v>10</v>
      </c>
      <c r="C17" s="763" t="s">
        <v>866</v>
      </c>
      <c r="D17" s="764" t="s">
        <v>754</v>
      </c>
      <c r="E17" s="763"/>
      <c r="F17" s="763"/>
      <c r="G17" s="76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336</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812</v>
      </c>
      <c r="H33" s="182"/>
    </row>
    <row r="34" spans="2:8">
      <c r="B34" s="176">
        <f>C2</f>
        <v>0</v>
      </c>
      <c r="H34" s="182"/>
    </row>
    <row r="35" spans="2:8">
      <c r="B35" s="176" t="s">
        <v>596</v>
      </c>
      <c r="H35" s="182"/>
    </row>
    <row r="36" spans="2:8">
      <c r="B36" s="176" t="s">
        <v>597</v>
      </c>
      <c r="H36" s="182"/>
    </row>
    <row r="37" spans="2:8">
      <c r="B37" s="176" t="s">
        <v>752</v>
      </c>
      <c r="H37" s="182"/>
    </row>
    <row r="38" spans="2:8">
      <c r="B38" s="176" t="s">
        <v>865</v>
      </c>
      <c r="H38" s="182"/>
    </row>
    <row r="39" spans="2:8">
      <c r="B39" s="176" t="s">
        <v>553</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algorithmName="SHA-512" hashValue="UrzIj8NxD1DOM4IvGpf8iSl2cvEQIu3fVwpFbLyVkOH8JYvU7qtKDrNXJ+qs+2bjMj7hkesuUn4TuHc8XKI1cw==" saltValue="PGUJzsS/Rzv5tBYiZXQdMw=="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workbookViewId="0"/>
  </sheetViews>
  <sheetFormatPr defaultColWidth="9.109375" defaultRowHeight="13.2"/>
  <cols>
    <col min="2" max="2" width="12.88671875" customWidth="1"/>
    <col min="3" max="6" width="32.44140625" style="158" customWidth="1"/>
    <col min="7" max="7" width="2.88671875" bestFit="1" customWidth="1"/>
  </cols>
  <sheetData>
    <row r="1" spans="2:7">
      <c r="B1" s="53" t="s">
        <v>618</v>
      </c>
      <c r="C1" s="198"/>
      <c r="D1" s="199"/>
      <c r="E1" s="205" t="s">
        <v>310</v>
      </c>
      <c r="F1" s="199"/>
      <c r="G1" s="182"/>
    </row>
    <row r="2" spans="2:7">
      <c r="B2" s="158" t="s">
        <v>25</v>
      </c>
      <c r="C2" s="176" t="s">
        <v>869</v>
      </c>
      <c r="G2" s="182"/>
    </row>
    <row r="3" spans="2:7">
      <c r="B3" s="192" t="s">
        <v>311</v>
      </c>
      <c r="C3" s="192" t="s">
        <v>619</v>
      </c>
      <c r="D3" s="192" t="s">
        <v>620</v>
      </c>
      <c r="E3" s="192" t="s">
        <v>621</v>
      </c>
      <c r="F3" s="192" t="s">
        <v>622</v>
      </c>
      <c r="G3" s="193"/>
    </row>
    <row r="4" spans="2:7" ht="26.4">
      <c r="B4" s="200" t="s">
        <v>270</v>
      </c>
      <c r="C4" s="760" t="s">
        <v>623</v>
      </c>
      <c r="D4" s="760" t="s">
        <v>484</v>
      </c>
      <c r="E4" s="760" t="s">
        <v>624</v>
      </c>
      <c r="F4" s="760" t="s">
        <v>507</v>
      </c>
    </row>
    <row r="5" spans="2:7" ht="52.8">
      <c r="B5" s="200" t="s">
        <v>280</v>
      </c>
      <c r="C5" s="576" t="s">
        <v>625</v>
      </c>
      <c r="D5" s="576" t="s">
        <v>617</v>
      </c>
      <c r="E5" s="576" t="s">
        <v>867</v>
      </c>
      <c r="F5" s="576" t="s">
        <v>509</v>
      </c>
      <c r="G5" s="193"/>
    </row>
    <row r="6" spans="2:7" ht="39.6">
      <c r="B6" s="203">
        <v>1</v>
      </c>
      <c r="C6" s="756" t="s">
        <v>626</v>
      </c>
      <c r="D6" s="756" t="s">
        <v>491</v>
      </c>
      <c r="E6" s="756"/>
      <c r="F6" s="756"/>
      <c r="G6" s="203">
        <v>1</v>
      </c>
    </row>
    <row r="7" spans="2:7">
      <c r="B7" s="203">
        <v>2</v>
      </c>
      <c r="C7" s="756"/>
      <c r="D7" s="756"/>
      <c r="E7" s="756"/>
      <c r="F7" s="756"/>
      <c r="G7" s="203">
        <v>2</v>
      </c>
    </row>
    <row r="8" spans="2:7">
      <c r="B8" s="203">
        <v>3</v>
      </c>
      <c r="C8" s="612"/>
      <c r="D8" s="756"/>
      <c r="E8" s="756"/>
      <c r="F8" s="756"/>
      <c r="G8" s="203">
        <v>3</v>
      </c>
    </row>
    <row r="9" spans="2:7">
      <c r="B9" s="203">
        <v>4</v>
      </c>
      <c r="C9" s="756"/>
      <c r="E9" s="756"/>
      <c r="F9" s="756"/>
      <c r="G9" s="203">
        <v>4</v>
      </c>
    </row>
    <row r="10" spans="2:7" ht="39.6">
      <c r="B10" s="203">
        <v>5</v>
      </c>
      <c r="C10" s="756"/>
      <c r="D10" s="756" t="s">
        <v>627</v>
      </c>
      <c r="E10" s="763"/>
      <c r="F10" s="763"/>
      <c r="G10" s="203">
        <v>5</v>
      </c>
    </row>
    <row r="11" spans="2:7" ht="26.4">
      <c r="B11" s="203">
        <v>5</v>
      </c>
      <c r="C11" s="612"/>
      <c r="D11" s="772" t="s">
        <v>628</v>
      </c>
      <c r="E11" s="763"/>
      <c r="F11" s="756"/>
      <c r="G11" s="203">
        <v>5</v>
      </c>
    </row>
    <row r="12" spans="2:7">
      <c r="B12" s="203">
        <v>6</v>
      </c>
      <c r="C12" s="756"/>
      <c r="D12" s="763"/>
      <c r="E12" s="763"/>
      <c r="F12" s="763"/>
      <c r="G12" s="203">
        <v>6</v>
      </c>
    </row>
    <row r="13" spans="2:7" ht="39.6">
      <c r="B13" s="203">
        <v>7</v>
      </c>
      <c r="C13" s="756"/>
      <c r="D13" s="756"/>
      <c r="E13" s="763" t="s">
        <v>629</v>
      </c>
      <c r="F13" s="756"/>
      <c r="G13" s="203">
        <v>7</v>
      </c>
    </row>
    <row r="14" spans="2:7">
      <c r="B14" s="203">
        <v>8</v>
      </c>
      <c r="C14" s="756"/>
      <c r="D14" s="756"/>
      <c r="E14" s="756"/>
      <c r="F14" s="756"/>
      <c r="G14" s="203">
        <v>8</v>
      </c>
    </row>
    <row r="15" spans="2:7">
      <c r="B15" s="203">
        <v>9</v>
      </c>
      <c r="C15" s="756"/>
      <c r="D15" s="756"/>
      <c r="E15" s="756"/>
      <c r="F15" s="756" t="s">
        <v>263</v>
      </c>
      <c r="G15" s="203">
        <v>9</v>
      </c>
    </row>
    <row r="16" spans="2:7" ht="39.6">
      <c r="B16" s="204">
        <v>10</v>
      </c>
      <c r="C16" s="763" t="s">
        <v>630</v>
      </c>
      <c r="D16" s="763" t="s">
        <v>631</v>
      </c>
      <c r="E16" s="763" t="s">
        <v>263</v>
      </c>
      <c r="F16" s="763" t="s">
        <v>256</v>
      </c>
      <c r="G16" s="204">
        <v>10</v>
      </c>
    </row>
    <row r="17" spans="2:13" ht="39.6">
      <c r="B17" s="204">
        <v>10</v>
      </c>
      <c r="C17" s="763"/>
      <c r="D17" s="772" t="s">
        <v>632</v>
      </c>
      <c r="E17" s="772" t="s">
        <v>633</v>
      </c>
      <c r="F17" s="763"/>
      <c r="G17" s="204">
        <v>10</v>
      </c>
    </row>
    <row r="19" spans="2:13">
      <c r="B19" s="178"/>
      <c r="G19" s="182"/>
    </row>
    <row r="20" spans="2:13">
      <c r="B20" s="178"/>
      <c r="G20" s="182"/>
    </row>
    <row r="21" spans="2:13">
      <c r="B21" s="178"/>
      <c r="G21" s="182"/>
    </row>
    <row r="22" spans="2:13">
      <c r="B22" s="178"/>
      <c r="G22" s="182"/>
    </row>
    <row r="23" spans="2:13">
      <c r="B23" s="159" t="s">
        <v>336</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t="s">
        <v>869</v>
      </c>
      <c r="G34" s="182"/>
    </row>
    <row r="35" spans="2:7">
      <c r="B35" s="176" t="s">
        <v>625</v>
      </c>
      <c r="G35" s="182"/>
    </row>
    <row r="36" spans="2:7">
      <c r="B36" s="176" t="s">
        <v>617</v>
      </c>
      <c r="G36" s="182"/>
    </row>
    <row r="37" spans="2:7">
      <c r="B37" s="176" t="s">
        <v>867</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iXLzs0c9Lshlj5EQvxei4qoHZHvKgWCJOZJFpAee966OYIADZ0uaxQJJvJ7jgmVVum4vHR3AoXOr5xSUFlEhrw==" saltValue="K17oaSLiK1PpXG2gtOTF/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workbookViewId="0"/>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642</v>
      </c>
      <c r="C1" s="198"/>
      <c r="D1" s="205" t="s">
        <v>310</v>
      </c>
      <c r="E1" s="199"/>
      <c r="F1" s="207" t="s">
        <v>289</v>
      </c>
      <c r="G1" s="182"/>
    </row>
    <row r="2" spans="2:7">
      <c r="B2" s="158"/>
      <c r="G2" s="182"/>
    </row>
    <row r="3" spans="2:7">
      <c r="B3" s="487" t="s">
        <v>311</v>
      </c>
      <c r="C3" s="487" t="s">
        <v>638</v>
      </c>
      <c r="D3" s="487" t="s">
        <v>639</v>
      </c>
      <c r="E3" s="487" t="s">
        <v>640</v>
      </c>
      <c r="F3" s="487" t="s">
        <v>641</v>
      </c>
      <c r="G3" s="193"/>
    </row>
    <row r="4" spans="2:7" ht="26.4">
      <c r="B4" s="485" t="s">
        <v>270</v>
      </c>
      <c r="C4" s="486" t="s">
        <v>484</v>
      </c>
      <c r="D4" s="486" t="s">
        <v>1096</v>
      </c>
      <c r="E4" s="486" t="s">
        <v>1097</v>
      </c>
      <c r="F4" s="486" t="s">
        <v>507</v>
      </c>
    </row>
    <row r="5" spans="2:7" ht="211.2">
      <c r="B5" s="485" t="s">
        <v>280</v>
      </c>
      <c r="C5" s="197" t="s">
        <v>617</v>
      </c>
      <c r="D5" s="197" t="s">
        <v>1220</v>
      </c>
      <c r="E5" s="197" t="s">
        <v>1221</v>
      </c>
      <c r="F5" s="197" t="s">
        <v>509</v>
      </c>
      <c r="G5" s="193"/>
    </row>
    <row r="6" spans="2:7">
      <c r="B6" s="495">
        <v>1</v>
      </c>
      <c r="C6" s="187" t="s">
        <v>491</v>
      </c>
      <c r="D6" s="187"/>
      <c r="E6" s="187"/>
      <c r="F6" s="187"/>
      <c r="G6" s="203">
        <v>1</v>
      </c>
    </row>
    <row r="7" spans="2:7">
      <c r="B7" s="495">
        <v>2</v>
      </c>
      <c r="C7" s="187"/>
      <c r="D7" s="187"/>
      <c r="E7" s="187"/>
      <c r="F7" s="187"/>
      <c r="G7" s="203">
        <v>2</v>
      </c>
    </row>
    <row r="8" spans="2:7">
      <c r="B8" s="495">
        <v>3</v>
      </c>
      <c r="C8" s="196"/>
      <c r="D8" s="187" t="s">
        <v>1094</v>
      </c>
      <c r="E8" s="187"/>
      <c r="F8" s="187"/>
      <c r="G8" s="203">
        <v>3</v>
      </c>
    </row>
    <row r="9" spans="2:7" ht="26.4">
      <c r="B9" s="495">
        <v>4</v>
      </c>
      <c r="C9" s="187" t="s">
        <v>643</v>
      </c>
      <c r="D9" s="187"/>
      <c r="E9" s="187"/>
      <c r="F9" s="187"/>
      <c r="G9" s="203">
        <v>4</v>
      </c>
    </row>
    <row r="10" spans="2:7">
      <c r="B10" s="495">
        <v>5</v>
      </c>
      <c r="C10" s="187"/>
      <c r="D10" s="190"/>
      <c r="E10" s="190"/>
      <c r="F10" s="190"/>
      <c r="G10" s="203">
        <v>5</v>
      </c>
    </row>
    <row r="11" spans="2:7">
      <c r="B11" s="495">
        <v>6</v>
      </c>
      <c r="C11" s="196"/>
      <c r="D11" s="187"/>
      <c r="E11" s="190"/>
      <c r="F11" s="187"/>
      <c r="G11" s="203">
        <v>6</v>
      </c>
    </row>
    <row r="12" spans="2:7">
      <c r="B12" s="495">
        <v>7</v>
      </c>
      <c r="C12" s="187"/>
      <c r="D12" s="190"/>
      <c r="E12" s="187"/>
      <c r="F12" s="190"/>
      <c r="G12" s="203">
        <v>7</v>
      </c>
    </row>
    <row r="13" spans="2:7">
      <c r="B13" s="495">
        <v>8</v>
      </c>
      <c r="C13" s="187"/>
      <c r="D13" s="187"/>
      <c r="E13" s="190" t="s">
        <v>1091</v>
      </c>
      <c r="F13" s="187"/>
      <c r="G13" s="203">
        <v>8</v>
      </c>
    </row>
    <row r="14" spans="2:7" ht="26.4">
      <c r="B14" s="495">
        <v>9</v>
      </c>
      <c r="C14" s="187"/>
      <c r="D14" s="187"/>
      <c r="E14" s="187" t="s">
        <v>1093</v>
      </c>
      <c r="F14" s="187" t="s">
        <v>263</v>
      </c>
      <c r="G14" s="203">
        <v>9</v>
      </c>
    </row>
    <row r="15" spans="2:7" ht="52.8">
      <c r="B15" s="495">
        <v>10</v>
      </c>
      <c r="C15" s="187" t="s">
        <v>870</v>
      </c>
      <c r="D15" s="187" t="s">
        <v>1095</v>
      </c>
      <c r="E15" s="187" t="s">
        <v>1092</v>
      </c>
      <c r="F15" s="187" t="s">
        <v>256</v>
      </c>
      <c r="G15" s="203">
        <v>10</v>
      </c>
    </row>
    <row r="16" spans="2:7" ht="39.6">
      <c r="B16" s="496">
        <v>10</v>
      </c>
      <c r="C16" s="206" t="s">
        <v>871</v>
      </c>
      <c r="D16" s="190"/>
      <c r="E16" s="190"/>
      <c r="F16" s="190"/>
      <c r="G16" s="204">
        <v>10</v>
      </c>
    </row>
    <row r="17" spans="2:13" ht="39.6">
      <c r="B17" s="496">
        <v>10</v>
      </c>
      <c r="C17" s="206" t="s">
        <v>644</v>
      </c>
      <c r="D17" s="190"/>
      <c r="E17" s="190"/>
      <c r="F17" s="190"/>
      <c r="G17" s="204">
        <v>10</v>
      </c>
    </row>
    <row r="18" spans="2:13" ht="39.6">
      <c r="B18" s="497" t="str">
        <f>'Interactive Data Grading'!D446</f>
        <v/>
      </c>
      <c r="C18" s="498" t="s">
        <v>650</v>
      </c>
      <c r="D18" s="497" t="s">
        <v>645</v>
      </c>
      <c r="E18" s="191"/>
      <c r="F18" s="191"/>
      <c r="G18" s="84" t="str">
        <f>'Interactive Data Grading'!D446</f>
        <v/>
      </c>
    </row>
    <row r="19" spans="2:13" ht="26.4">
      <c r="E19" s="208" t="s">
        <v>646</v>
      </c>
      <c r="F19" s="208"/>
    </row>
    <row r="20" spans="2:13">
      <c r="B20" s="178"/>
      <c r="G20" s="182"/>
    </row>
    <row r="21" spans="2:13">
      <c r="B21" s="178"/>
      <c r="G21" s="182"/>
    </row>
    <row r="22" spans="2:13">
      <c r="B22" s="178"/>
      <c r="G22" s="182"/>
    </row>
    <row r="23" spans="2:13">
      <c r="B23" s="159" t="s">
        <v>336</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c r="G34" s="182"/>
    </row>
    <row r="35" spans="2:7">
      <c r="B35" s="176" t="s">
        <v>617</v>
      </c>
      <c r="G35" s="182"/>
    </row>
    <row r="36" spans="2:7" ht="409.6">
      <c r="B36" s="138" t="s">
        <v>1222</v>
      </c>
      <c r="G36" s="182"/>
    </row>
    <row r="37" spans="2:7" ht="409.6">
      <c r="B37" s="138" t="s">
        <v>1223</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794" t="s">
        <v>639</v>
      </c>
      <c r="E56" s="794" t="s">
        <v>640</v>
      </c>
      <c r="G56" s="182"/>
    </row>
    <row r="57" spans="2:7">
      <c r="B57" s="178"/>
      <c r="D57" s="760" t="s">
        <v>1096</v>
      </c>
      <c r="E57" s="760" t="s">
        <v>1097</v>
      </c>
      <c r="G57" s="182"/>
    </row>
    <row r="58" spans="2:7" ht="198">
      <c r="B58" s="178"/>
      <c r="D58" s="576" t="s">
        <v>1099</v>
      </c>
      <c r="E58" s="576" t="s">
        <v>1098</v>
      </c>
      <c r="G58" s="182"/>
    </row>
    <row r="59" spans="2:7" ht="26.4">
      <c r="B59" s="178"/>
      <c r="D59" s="795" t="s">
        <v>1094</v>
      </c>
      <c r="E59" s="796" t="s">
        <v>1091</v>
      </c>
      <c r="G59" s="182"/>
    </row>
    <row r="60" spans="2:7" ht="26.4">
      <c r="B60" s="178"/>
      <c r="D60" s="795" t="s">
        <v>1095</v>
      </c>
      <c r="E60" s="795" t="s">
        <v>1093</v>
      </c>
      <c r="G60" s="182"/>
    </row>
    <row r="61" spans="2:7" ht="34.200000000000003" customHeight="1">
      <c r="B61" s="178"/>
      <c r="D61" s="53"/>
      <c r="E61" s="797" t="s">
        <v>1092</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Q1/wy5BNI2t0DfiqSBeiIuRcFM6GSyIr+dwIz3HTKKHZhd++x3hZsubdFC+IqnL7KYuhiOUEWn4BzJ5zVsherg==" saltValue="KkcH72bIGB45fzxBpJRp+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322</v>
      </c>
      <c r="F1" s="175" t="s">
        <v>310</v>
      </c>
    </row>
    <row r="2" spans="2:7">
      <c r="B2" s="174" t="s">
        <v>25</v>
      </c>
      <c r="C2" s="174" t="s">
        <v>269</v>
      </c>
    </row>
    <row r="3" spans="2:7">
      <c r="B3" s="174" t="s">
        <v>311</v>
      </c>
      <c r="C3" s="544" t="s">
        <v>332</v>
      </c>
      <c r="D3" s="544" t="s">
        <v>333</v>
      </c>
      <c r="E3" s="544" t="s">
        <v>334</v>
      </c>
      <c r="F3" s="544" t="s">
        <v>335</v>
      </c>
    </row>
    <row r="4" spans="2:7" ht="26.4">
      <c r="B4" s="174" t="s">
        <v>270</v>
      </c>
      <c r="C4" s="174" t="s">
        <v>323</v>
      </c>
      <c r="D4" s="174" t="s">
        <v>324</v>
      </c>
      <c r="E4" s="174" t="s">
        <v>325</v>
      </c>
      <c r="F4" s="174" t="s">
        <v>326</v>
      </c>
    </row>
    <row r="5" spans="2:7" ht="52.8">
      <c r="B5" s="174" t="s">
        <v>280</v>
      </c>
      <c r="C5" s="174" t="s">
        <v>327</v>
      </c>
      <c r="D5" s="174" t="s">
        <v>328</v>
      </c>
      <c r="E5" s="174" t="s">
        <v>1177</v>
      </c>
      <c r="F5" s="544" t="s">
        <v>1176</v>
      </c>
    </row>
    <row r="6" spans="2:7">
      <c r="B6" s="174">
        <v>1</v>
      </c>
      <c r="G6" s="177">
        <v>1</v>
      </c>
    </row>
    <row r="7" spans="2:7">
      <c r="B7" s="174">
        <v>2</v>
      </c>
      <c r="G7" s="177">
        <v>2</v>
      </c>
    </row>
    <row r="8" spans="2:7">
      <c r="B8" s="174">
        <v>3</v>
      </c>
      <c r="G8" s="177">
        <v>3</v>
      </c>
    </row>
    <row r="9" spans="2:7">
      <c r="B9" s="174">
        <v>4</v>
      </c>
      <c r="C9" s="174" t="s">
        <v>263</v>
      </c>
      <c r="F9" s="544" t="s">
        <v>1172</v>
      </c>
      <c r="G9" s="177">
        <v>4</v>
      </c>
    </row>
    <row r="10" spans="2:7">
      <c r="B10" s="174">
        <v>5</v>
      </c>
      <c r="G10" s="177">
        <v>5</v>
      </c>
    </row>
    <row r="11" spans="2:7">
      <c r="B11" s="174">
        <v>6</v>
      </c>
      <c r="G11" s="177">
        <v>6</v>
      </c>
    </row>
    <row r="12" spans="2:7">
      <c r="B12" s="174">
        <v>7</v>
      </c>
      <c r="G12" s="177">
        <v>7</v>
      </c>
    </row>
    <row r="13" spans="2:7">
      <c r="B13" s="174">
        <v>8</v>
      </c>
      <c r="D13" s="174" t="s">
        <v>263</v>
      </c>
      <c r="G13" s="177">
        <v>8</v>
      </c>
    </row>
    <row r="14" spans="2:7">
      <c r="B14" s="174">
        <v>8</v>
      </c>
      <c r="D14" s="175" t="s">
        <v>329</v>
      </c>
      <c r="G14" s="177">
        <v>8</v>
      </c>
    </row>
    <row r="15" spans="2:7">
      <c r="B15" s="174">
        <v>9</v>
      </c>
      <c r="E15" s="174" t="s">
        <v>263</v>
      </c>
      <c r="G15" s="177">
        <v>9</v>
      </c>
    </row>
    <row r="16" spans="2:7">
      <c r="B16" s="174">
        <v>10</v>
      </c>
      <c r="C16" s="174" t="s">
        <v>256</v>
      </c>
      <c r="D16" s="174" t="s">
        <v>256</v>
      </c>
      <c r="E16" s="174" t="s">
        <v>256</v>
      </c>
      <c r="F16" s="544" t="s">
        <v>330</v>
      </c>
      <c r="G16" s="177">
        <v>10</v>
      </c>
    </row>
    <row r="17" spans="2:7" ht="26.4">
      <c r="B17" s="174">
        <v>10</v>
      </c>
      <c r="C17" s="175" t="s">
        <v>813</v>
      </c>
      <c r="D17" s="175" t="s">
        <v>813</v>
      </c>
      <c r="E17" s="175" t="s">
        <v>813</v>
      </c>
      <c r="F17" s="175" t="s">
        <v>331</v>
      </c>
      <c r="G17" s="177">
        <v>10</v>
      </c>
    </row>
    <row r="18" spans="2:7" ht="26.4">
      <c r="B18" s="174">
        <v>10</v>
      </c>
      <c r="C18" s="175"/>
      <c r="D18" s="175"/>
      <c r="E18" s="175"/>
      <c r="F18" s="175" t="s">
        <v>874</v>
      </c>
      <c r="G18" s="177">
        <v>10</v>
      </c>
    </row>
    <row r="23" spans="2:7">
      <c r="B23" s="165" t="s">
        <v>338</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814</v>
      </c>
    </row>
    <row r="34" spans="2:2">
      <c r="B34" s="176" t="s">
        <v>972</v>
      </c>
    </row>
    <row r="35" spans="2:2">
      <c r="B35" s="176" t="s">
        <v>328</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algorithmName="SHA-512" hashValue="YSQsW8t5c2nGdO4iQQHPszp/En0rUTsupnundKsK5o09/s0ZNkffJn+YXxxRjG99Hz0v0Lq/ymigX0twu5tAvQ==" saltValue="oLU52K3nFVjMiA6QbGyCuw=="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33"/>
  <sheetViews>
    <sheetView showGridLines="0" showRowColHeaders="0" tabSelected="1" zoomScale="110" zoomScaleNormal="110" workbookViewId="0">
      <pane ySplit="2" topLeftCell="A3" activePane="bottomLeft" state="frozen"/>
      <selection pane="bottomLeft" activeCell="AB9" sqref="AB9:AL9"/>
    </sheetView>
  </sheetViews>
  <sheetFormatPr defaultColWidth="0" defaultRowHeight="13.2"/>
  <cols>
    <col min="1" max="1" width="1.5546875" style="47" customWidth="1"/>
    <col min="2" max="19" width="3.44140625" style="47" customWidth="1"/>
    <col min="20" max="20" width="5" style="47" customWidth="1"/>
    <col min="21"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41" t="s">
        <v>1324</v>
      </c>
      <c r="B1" s="64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56" t="s">
        <v>1299</v>
      </c>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8"/>
      <c r="AJ2" s="1058"/>
      <c r="AK2" s="1058"/>
      <c r="AL2" s="1058"/>
      <c r="AM2" s="1058"/>
      <c r="AN2" s="1058"/>
      <c r="AO2" s="1058"/>
      <c r="AP2" s="1058"/>
      <c r="AQ2" s="1058"/>
      <c r="AR2" s="1058"/>
      <c r="AS2" s="1058"/>
      <c r="AT2" s="1058"/>
      <c r="AU2" s="1058"/>
      <c r="AV2" s="1058"/>
      <c r="AW2" s="1058"/>
      <c r="AX2" s="1058"/>
      <c r="AY2" s="1058"/>
      <c r="AZ2" s="1058"/>
      <c r="BA2" s="1058"/>
      <c r="BB2" s="1059"/>
      <c r="BC2" s="92"/>
    </row>
    <row r="3" spans="1:55" s="46" customFormat="1" ht="12.9" customHeight="1">
      <c r="A3" s="91"/>
      <c r="B3" s="1070" t="s">
        <v>1226</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1071"/>
      <c r="AW3" s="1071"/>
      <c r="AX3" s="1071"/>
      <c r="AY3" s="1071"/>
      <c r="AZ3" s="1071"/>
      <c r="BA3" s="1071"/>
      <c r="BB3" s="1072"/>
      <c r="BC3" s="91"/>
    </row>
    <row r="4" spans="1:55" s="46" customFormat="1" ht="12.9" customHeight="1">
      <c r="A4" s="91"/>
      <c r="B4" s="1070"/>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2"/>
      <c r="BC4" s="91"/>
    </row>
    <row r="5" spans="1:55" s="46" customFormat="1" ht="12.9" customHeight="1">
      <c r="A5" s="91"/>
      <c r="B5" s="1070"/>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2"/>
      <c r="BC5" s="91"/>
    </row>
    <row r="6" spans="1:55" s="46" customFormat="1" ht="12.9" customHeight="1">
      <c r="A6" s="91"/>
      <c r="B6" s="1070"/>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2"/>
      <c r="BC6" s="91"/>
    </row>
    <row r="7" spans="1:55" s="46" customFormat="1" ht="12.9" customHeight="1">
      <c r="A7" s="91"/>
      <c r="B7" s="616"/>
      <c r="C7" s="1067" t="s">
        <v>1198</v>
      </c>
      <c r="D7" s="1067"/>
      <c r="E7" s="1067"/>
      <c r="F7" s="1067"/>
      <c r="G7" s="1067"/>
      <c r="H7" s="1067"/>
      <c r="I7" s="1067"/>
      <c r="J7" s="1067"/>
      <c r="K7" s="1067"/>
      <c r="L7" s="1067"/>
      <c r="M7" s="1067"/>
      <c r="N7" s="1067"/>
      <c r="O7" s="1067"/>
      <c r="P7" s="1067"/>
      <c r="Q7" s="1067"/>
      <c r="R7" s="1067"/>
      <c r="S7" s="1067"/>
      <c r="T7" s="1067"/>
      <c r="U7" s="1060" t="s">
        <v>1007</v>
      </c>
      <c r="V7" s="1060"/>
      <c r="W7" s="1060"/>
      <c r="X7" s="1060"/>
      <c r="Y7" s="1060"/>
      <c r="Z7" s="1060"/>
      <c r="AA7" s="1060"/>
      <c r="AB7" s="1060"/>
      <c r="AC7" s="1060"/>
      <c r="AD7" s="1060"/>
      <c r="AE7" s="1060"/>
      <c r="AF7" s="1060"/>
      <c r="AG7" s="1060"/>
      <c r="AH7" s="1060"/>
      <c r="AI7" s="1060"/>
      <c r="AJ7" s="1060"/>
      <c r="AK7" s="1060"/>
      <c r="AL7" s="1060"/>
      <c r="AM7" s="1060"/>
      <c r="AN7" s="158"/>
      <c r="AO7" s="1060" t="s">
        <v>923</v>
      </c>
      <c r="AP7" s="1060"/>
      <c r="AQ7" s="1060"/>
      <c r="AR7" s="1060"/>
      <c r="AS7" s="1060"/>
      <c r="AT7" s="1060"/>
      <c r="AU7" s="1060"/>
      <c r="AV7" s="1060"/>
      <c r="AW7" s="1068" t="s">
        <v>1006</v>
      </c>
      <c r="AX7" s="1068"/>
      <c r="AY7" s="1068"/>
      <c r="AZ7" s="1068"/>
      <c r="BA7" s="1068"/>
      <c r="BB7" s="1069"/>
      <c r="BC7" s="91"/>
    </row>
    <row r="8" spans="1:55" s="46" customFormat="1" ht="16.95" customHeight="1">
      <c r="A8" s="91"/>
      <c r="B8" s="616"/>
      <c r="C8" s="1067"/>
      <c r="D8" s="1067"/>
      <c r="E8" s="1067"/>
      <c r="F8" s="1067"/>
      <c r="G8" s="1067"/>
      <c r="H8" s="1067"/>
      <c r="I8" s="1067"/>
      <c r="J8" s="1067"/>
      <c r="K8" s="1067"/>
      <c r="L8" s="1067"/>
      <c r="M8" s="1067"/>
      <c r="N8" s="1067"/>
      <c r="O8" s="1067"/>
      <c r="P8" s="1067"/>
      <c r="Q8" s="1067"/>
      <c r="R8" s="1067"/>
      <c r="S8" s="1067"/>
      <c r="T8" s="1067"/>
      <c r="U8" s="1060"/>
      <c r="V8" s="1060"/>
      <c r="W8" s="1060"/>
      <c r="X8" s="1060"/>
      <c r="Y8" s="1060"/>
      <c r="Z8" s="1060"/>
      <c r="AA8" s="1060"/>
      <c r="AB8" s="1060"/>
      <c r="AC8" s="1060"/>
      <c r="AD8" s="1060"/>
      <c r="AE8" s="1060"/>
      <c r="AF8" s="1060"/>
      <c r="AG8" s="1060"/>
      <c r="AH8" s="1060"/>
      <c r="AI8" s="1060"/>
      <c r="AJ8" s="1060"/>
      <c r="AK8" s="1060"/>
      <c r="AL8" s="1060"/>
      <c r="AM8" s="1060"/>
      <c r="AN8" s="158"/>
      <c r="AO8" s="1060"/>
      <c r="AP8" s="1060"/>
      <c r="AQ8" s="1060"/>
      <c r="AR8" s="1060"/>
      <c r="AS8" s="1060"/>
      <c r="AT8" s="1060"/>
      <c r="AU8" s="1060"/>
      <c r="AV8" s="1060"/>
      <c r="AW8" s="1068"/>
      <c r="AX8" s="1068"/>
      <c r="AY8" s="1068"/>
      <c r="AZ8" s="1068"/>
      <c r="BA8" s="1068"/>
      <c r="BB8" s="1069"/>
      <c r="BC8" s="91"/>
    </row>
    <row r="9" spans="1:55" s="46" customFormat="1" ht="12.9" customHeight="1">
      <c r="A9" s="91"/>
      <c r="B9" s="1073" t="s">
        <v>930</v>
      </c>
      <c r="C9" s="1074"/>
      <c r="D9" s="1074"/>
      <c r="E9" s="1074"/>
      <c r="F9" s="1074"/>
      <c r="G9" s="1047" t="s">
        <v>931</v>
      </c>
      <c r="H9" s="1047"/>
      <c r="I9" s="1047"/>
      <c r="J9" s="1047"/>
      <c r="K9" s="1047"/>
      <c r="L9" s="1047"/>
      <c r="M9" s="1047"/>
      <c r="N9" s="1047"/>
      <c r="O9" s="1047"/>
      <c r="P9" s="1047"/>
      <c r="Q9" s="1047"/>
      <c r="R9" s="1047"/>
      <c r="S9" s="1047"/>
      <c r="T9" s="1047"/>
      <c r="U9" s="578"/>
      <c r="V9" s="578"/>
      <c r="W9" s="578"/>
      <c r="X9" s="578"/>
      <c r="Y9" s="578"/>
      <c r="Z9" s="578"/>
      <c r="AA9" s="216" t="s">
        <v>765</v>
      </c>
      <c r="AB9" s="1061"/>
      <c r="AC9" s="1062"/>
      <c r="AD9" s="1062"/>
      <c r="AE9" s="1062"/>
      <c r="AF9" s="1062"/>
      <c r="AG9" s="1062"/>
      <c r="AH9" s="1062"/>
      <c r="AI9" s="1062"/>
      <c r="AJ9" s="1062"/>
      <c r="AK9" s="1062"/>
      <c r="AL9" s="1063"/>
      <c r="AM9" s="158"/>
      <c r="AN9" s="158"/>
      <c r="AO9"/>
      <c r="AP9" s="579" t="s">
        <v>901</v>
      </c>
      <c r="AQ9" s="265" t="s">
        <v>268</v>
      </c>
      <c r="AR9" s="544"/>
      <c r="AS9" s="158"/>
      <c r="AT9" s="158"/>
      <c r="AU9" s="158"/>
      <c r="AV9"/>
      <c r="AW9"/>
      <c r="AX9"/>
      <c r="AY9"/>
      <c r="AZ9"/>
      <c r="BA9"/>
      <c r="BB9" s="577"/>
      <c r="BC9" s="91"/>
    </row>
    <row r="10" spans="1:55" s="46" customFormat="1" ht="12.9" customHeight="1">
      <c r="A10" s="91"/>
      <c r="B10" s="1073"/>
      <c r="C10" s="1074"/>
      <c r="D10" s="1074"/>
      <c r="E10" s="1074"/>
      <c r="F10" s="1074"/>
      <c r="G10" s="1047"/>
      <c r="H10" s="1047"/>
      <c r="I10" s="1047"/>
      <c r="J10" s="1047"/>
      <c r="K10" s="1047"/>
      <c r="L10" s="1047"/>
      <c r="M10" s="1047"/>
      <c r="N10" s="1047"/>
      <c r="O10" s="1047"/>
      <c r="P10" s="1047"/>
      <c r="Q10" s="1047"/>
      <c r="R10" s="1047"/>
      <c r="S10" s="1047"/>
      <c r="T10" s="1047"/>
      <c r="U10" s="578"/>
      <c r="V10" s="578"/>
      <c r="W10" s="578"/>
      <c r="X10" s="578"/>
      <c r="Y10" s="578"/>
      <c r="Z10" s="578"/>
      <c r="AA10" s="216" t="s">
        <v>139</v>
      </c>
      <c r="AB10" s="1061"/>
      <c r="AC10" s="1062"/>
      <c r="AD10" s="1062"/>
      <c r="AE10" s="1062"/>
      <c r="AF10" s="1062"/>
      <c r="AG10" s="1062"/>
      <c r="AH10" s="1062"/>
      <c r="AI10" s="1062"/>
      <c r="AJ10" s="1062"/>
      <c r="AK10" s="1062"/>
      <c r="AL10" s="1063"/>
      <c r="AM10" s="158"/>
      <c r="AN10" s="158"/>
      <c r="AO10"/>
      <c r="AP10" s="579" t="s">
        <v>915</v>
      </c>
      <c r="AQ10" s="265" t="s">
        <v>925</v>
      </c>
      <c r="AR10" s="158"/>
      <c r="AS10" s="158"/>
      <c r="AT10" s="158"/>
      <c r="AU10" s="158"/>
      <c r="AV10"/>
      <c r="AW10"/>
      <c r="AX10"/>
      <c r="AY10"/>
      <c r="AZ10"/>
      <c r="BA10"/>
      <c r="BB10" s="577"/>
      <c r="BC10" s="91"/>
    </row>
    <row r="11" spans="1:55" s="46" customFormat="1" ht="12.9" customHeight="1">
      <c r="A11" s="91"/>
      <c r="B11" s="1073"/>
      <c r="C11" s="1074"/>
      <c r="D11" s="1074"/>
      <c r="E11" s="1074"/>
      <c r="F11" s="1074"/>
      <c r="G11" s="1047"/>
      <c r="H11" s="1047"/>
      <c r="I11" s="1047"/>
      <c r="J11" s="1047"/>
      <c r="K11" s="1047"/>
      <c r="L11" s="1047"/>
      <c r="M11" s="1047"/>
      <c r="N11" s="1047"/>
      <c r="O11" s="1047"/>
      <c r="P11" s="1047"/>
      <c r="Q11" s="1047"/>
      <c r="R11" s="1047"/>
      <c r="S11" s="1047"/>
      <c r="T11" s="1047"/>
      <c r="U11" s="578"/>
      <c r="V11" s="578"/>
      <c r="W11" s="578"/>
      <c r="X11" s="578"/>
      <c r="Y11" s="578"/>
      <c r="Z11" s="578"/>
      <c r="AA11" s="216" t="s">
        <v>990</v>
      </c>
      <c r="AB11" s="1064"/>
      <c r="AC11" s="1065"/>
      <c r="AD11" s="1065"/>
      <c r="AE11" s="1065"/>
      <c r="AF11" s="1065"/>
      <c r="AG11" s="1065"/>
      <c r="AH11" s="1065"/>
      <c r="AI11" s="1065"/>
      <c r="AJ11" s="1065"/>
      <c r="AK11" s="1065"/>
      <c r="AL11" s="1066"/>
      <c r="AM11" s="158"/>
      <c r="AN11" s="158"/>
      <c r="AO11"/>
      <c r="AP11" s="579" t="s">
        <v>902</v>
      </c>
      <c r="AQ11" s="265" t="s">
        <v>14</v>
      </c>
      <c r="AR11" s="158"/>
      <c r="AS11" s="158"/>
      <c r="AT11" s="158"/>
      <c r="AU11" s="158"/>
      <c r="AV11"/>
      <c r="AW11"/>
      <c r="AX11"/>
      <c r="AY11"/>
      <c r="AZ11"/>
      <c r="BA11"/>
      <c r="BB11" s="577"/>
      <c r="BC11" s="91"/>
    </row>
    <row r="12" spans="1:55" s="46" customFormat="1" ht="12.9" customHeight="1">
      <c r="A12" s="91"/>
      <c r="B12" s="1073" t="s">
        <v>661</v>
      </c>
      <c r="C12" s="1074"/>
      <c r="D12" s="1074"/>
      <c r="E12" s="1074"/>
      <c r="F12" s="1074"/>
      <c r="G12" s="1047" t="s">
        <v>933</v>
      </c>
      <c r="H12" s="1047"/>
      <c r="I12" s="1047"/>
      <c r="J12" s="1047"/>
      <c r="K12" s="1047"/>
      <c r="L12" s="1047"/>
      <c r="M12" s="1047"/>
      <c r="N12" s="1047"/>
      <c r="O12" s="1047"/>
      <c r="P12" s="1047"/>
      <c r="Q12" s="1047"/>
      <c r="R12" s="1047"/>
      <c r="S12" s="1047"/>
      <c r="T12" s="1047"/>
      <c r="U12" s="578"/>
      <c r="V12" s="578"/>
      <c r="W12" s="578"/>
      <c r="X12" s="578"/>
      <c r="Y12" s="578"/>
      <c r="Z12" s="578"/>
      <c r="AA12" s="216" t="s">
        <v>252</v>
      </c>
      <c r="AB12" s="1077"/>
      <c r="AC12" s="1075"/>
      <c r="AD12" s="1075"/>
      <c r="AE12" s="1075"/>
      <c r="AF12" s="1075"/>
      <c r="AG12" s="1075"/>
      <c r="AH12" s="1078"/>
      <c r="AI12" s="1075"/>
      <c r="AJ12" s="1075"/>
      <c r="AK12" s="1075"/>
      <c r="AL12" s="1076"/>
      <c r="AM12" s="158"/>
      <c r="AN12" s="158"/>
      <c r="AO12"/>
      <c r="AP12" s="579" t="s">
        <v>916</v>
      </c>
      <c r="AQ12" s="265" t="s">
        <v>926</v>
      </c>
      <c r="AR12" s="158"/>
      <c r="AS12" s="158"/>
      <c r="AT12"/>
      <c r="AU12"/>
      <c r="AV12"/>
      <c r="AW12"/>
      <c r="AX12"/>
      <c r="AY12"/>
      <c r="AZ12"/>
      <c r="BA12"/>
      <c r="BB12" s="577"/>
      <c r="BC12" s="91"/>
    </row>
    <row r="13" spans="1:55" s="46" customFormat="1" ht="12.9" customHeight="1">
      <c r="A13" s="91"/>
      <c r="B13" s="1073"/>
      <c r="C13" s="1074"/>
      <c r="D13" s="1074"/>
      <c r="E13" s="1074"/>
      <c r="F13" s="1074"/>
      <c r="G13" s="1047"/>
      <c r="H13" s="1047"/>
      <c r="I13" s="1047"/>
      <c r="J13" s="1047"/>
      <c r="K13" s="1047"/>
      <c r="L13" s="1047"/>
      <c r="M13" s="1047"/>
      <c r="N13" s="1047"/>
      <c r="O13" s="1047"/>
      <c r="P13" s="1047"/>
      <c r="Q13" s="1047"/>
      <c r="R13" s="1047"/>
      <c r="S13" s="1047"/>
      <c r="T13" s="1047"/>
      <c r="U13" s="578"/>
      <c r="V13" s="578"/>
      <c r="W13" s="578"/>
      <c r="X13" s="578"/>
      <c r="Y13" s="578"/>
      <c r="Z13" s="578"/>
      <c r="AA13" s="216" t="s">
        <v>140</v>
      </c>
      <c r="AB13" s="1061"/>
      <c r="AC13" s="1062"/>
      <c r="AD13" s="1062"/>
      <c r="AE13" s="1062"/>
      <c r="AF13" s="1062"/>
      <c r="AG13" s="1062"/>
      <c r="AH13" s="1062"/>
      <c r="AI13" s="1062"/>
      <c r="AJ13" s="1062"/>
      <c r="AK13" s="1062"/>
      <c r="AL13" s="1063"/>
      <c r="AM13" s="158"/>
      <c r="AN13" s="158"/>
      <c r="AO13"/>
      <c r="AP13" s="579" t="s">
        <v>903</v>
      </c>
      <c r="AQ13" s="265" t="s">
        <v>15</v>
      </c>
      <c r="AR13" s="158"/>
      <c r="AS13" s="158"/>
      <c r="AT13"/>
      <c r="AU13"/>
      <c r="AV13"/>
      <c r="AW13"/>
      <c r="AX13"/>
      <c r="AY13"/>
      <c r="AZ13" s="158"/>
      <c r="BA13" s="158"/>
      <c r="BB13" s="575"/>
      <c r="BC13" s="91"/>
    </row>
    <row r="14" spans="1:55" s="46" customFormat="1" ht="12.9" customHeight="1">
      <c r="A14" s="91"/>
      <c r="B14" s="1073"/>
      <c r="C14" s="1074"/>
      <c r="D14" s="1074"/>
      <c r="E14" s="1074"/>
      <c r="F14" s="1074"/>
      <c r="G14" s="1047"/>
      <c r="H14" s="1047"/>
      <c r="I14" s="1047"/>
      <c r="J14" s="1047"/>
      <c r="K14" s="1047"/>
      <c r="L14" s="1047"/>
      <c r="M14" s="1047"/>
      <c r="N14" s="1047"/>
      <c r="O14" s="1047"/>
      <c r="P14" s="1047"/>
      <c r="Q14" s="1047"/>
      <c r="R14" s="1047"/>
      <c r="S14" s="1047"/>
      <c r="T14" s="1047"/>
      <c r="U14" s="578"/>
      <c r="V14" s="578"/>
      <c r="W14" s="578"/>
      <c r="X14" s="578"/>
      <c r="Y14" s="578"/>
      <c r="Z14" s="578"/>
      <c r="AA14" s="216" t="s">
        <v>137</v>
      </c>
      <c r="AB14" s="1089"/>
      <c r="AC14" s="1090"/>
      <c r="AD14" s="1090"/>
      <c r="AE14" s="1090"/>
      <c r="AF14" s="1090"/>
      <c r="AG14" s="1090"/>
      <c r="AH14" s="1090"/>
      <c r="AI14" s="1090"/>
      <c r="AJ14" s="1090"/>
      <c r="AK14" s="1090"/>
      <c r="AL14" s="1091"/>
      <c r="AM14" s="158"/>
      <c r="AN14" s="158"/>
      <c r="AO14"/>
      <c r="AP14" s="579" t="s">
        <v>917</v>
      </c>
      <c r="AQ14" s="265" t="s">
        <v>927</v>
      </c>
      <c r="AR14" s="158"/>
      <c r="AS14" s="158"/>
      <c r="AT14"/>
      <c r="AU14"/>
      <c r="AV14"/>
      <c r="AW14"/>
      <c r="AX14"/>
      <c r="AY14"/>
      <c r="AZ14" s="158"/>
      <c r="BA14" s="158"/>
      <c r="BB14" s="575"/>
      <c r="BC14" s="91"/>
    </row>
    <row r="15" spans="1:55" s="46" customFormat="1" ht="12.9" customHeight="1">
      <c r="A15" s="91"/>
      <c r="B15" s="1045" t="s">
        <v>667</v>
      </c>
      <c r="C15" s="1046"/>
      <c r="D15" s="1046"/>
      <c r="E15" s="1046"/>
      <c r="F15" s="1046"/>
      <c r="G15" s="1047" t="s">
        <v>934</v>
      </c>
      <c r="H15" s="1047"/>
      <c r="I15" s="1047"/>
      <c r="J15" s="1047"/>
      <c r="K15" s="1047"/>
      <c r="L15" s="1047"/>
      <c r="M15" s="1047"/>
      <c r="N15" s="1047"/>
      <c r="O15" s="1047"/>
      <c r="P15" s="1047"/>
      <c r="Q15" s="1047"/>
      <c r="R15" s="1047"/>
      <c r="S15" s="1047"/>
      <c r="T15" s="1047"/>
      <c r="U15" s="578"/>
      <c r="V15" s="578"/>
      <c r="W15" s="578"/>
      <c r="X15" s="578"/>
      <c r="Y15" s="578"/>
      <c r="Z15" s="578"/>
      <c r="AA15" s="589" t="s">
        <v>946</v>
      </c>
      <c r="AB15" s="1079"/>
      <c r="AC15" s="1079"/>
      <c r="AD15" s="1079"/>
      <c r="AE15" s="1079"/>
      <c r="AF15" s="1079"/>
      <c r="AG15" s="1079"/>
      <c r="AH15" s="1079"/>
      <c r="AI15" s="1079"/>
      <c r="AJ15" s="1079"/>
      <c r="AK15" s="1079"/>
      <c r="AL15" s="1079"/>
      <c r="AM15" s="158"/>
      <c r="AN15" s="158"/>
      <c r="AO15"/>
      <c r="AP15" s="579" t="s">
        <v>904</v>
      </c>
      <c r="AQ15" s="265" t="s">
        <v>514</v>
      </c>
      <c r="AR15" s="158"/>
      <c r="AS15" s="158"/>
      <c r="AT15"/>
      <c r="AU15"/>
      <c r="AV15"/>
      <c r="AW15"/>
      <c r="AX15"/>
      <c r="AY15"/>
      <c r="AZ15" s="158"/>
      <c r="BA15" s="158"/>
      <c r="BB15" s="575"/>
      <c r="BC15" s="91"/>
    </row>
    <row r="16" spans="1:55" s="46" customFormat="1" ht="12.9" customHeight="1">
      <c r="A16" s="91"/>
      <c r="B16" s="1045"/>
      <c r="C16" s="1046"/>
      <c r="D16" s="1046"/>
      <c r="E16" s="1046"/>
      <c r="F16" s="1046"/>
      <c r="G16" s="1047"/>
      <c r="H16" s="1047"/>
      <c r="I16" s="1047"/>
      <c r="J16" s="1047"/>
      <c r="K16" s="1047"/>
      <c r="L16" s="1047"/>
      <c r="M16" s="1047"/>
      <c r="N16" s="1047"/>
      <c r="O16" s="1047"/>
      <c r="P16" s="1047"/>
      <c r="Q16" s="1047"/>
      <c r="R16" s="1047"/>
      <c r="S16" s="1047"/>
      <c r="T16" s="1047"/>
      <c r="U16" s="578"/>
      <c r="V16" s="578"/>
      <c r="W16" s="578"/>
      <c r="X16" s="578"/>
      <c r="Y16" s="578"/>
      <c r="Z16" s="578"/>
      <c r="AA16" s="216" t="s">
        <v>138</v>
      </c>
      <c r="AB16" s="1080"/>
      <c r="AC16" s="1081"/>
      <c r="AD16" s="1081"/>
      <c r="AE16" s="1081"/>
      <c r="AF16" s="1081"/>
      <c r="AG16" s="1081"/>
      <c r="AH16" s="1081"/>
      <c r="AI16" s="1081"/>
      <c r="AJ16" s="1081"/>
      <c r="AK16" s="1081"/>
      <c r="AL16" s="1082"/>
      <c r="AM16" s="158"/>
      <c r="AN16" s="158"/>
      <c r="AO16"/>
      <c r="AP16" s="580" t="s">
        <v>905</v>
      </c>
      <c r="AQ16" s="265" t="s">
        <v>419</v>
      </c>
      <c r="AR16" s="158"/>
      <c r="AS16" s="158"/>
      <c r="AT16"/>
      <c r="AU16"/>
      <c r="AV16"/>
      <c r="AW16"/>
      <c r="AX16"/>
      <c r="AY16" s="158"/>
      <c r="AZ16" s="158"/>
      <c r="BA16" s="158"/>
      <c r="BB16" s="575"/>
      <c r="BC16" s="91"/>
    </row>
    <row r="17" spans="1:55" s="46" customFormat="1" ht="12.9" customHeight="1">
      <c r="A17" s="91"/>
      <c r="B17" s="1045"/>
      <c r="C17" s="1046"/>
      <c r="D17" s="1046"/>
      <c r="E17" s="1046"/>
      <c r="F17" s="1046"/>
      <c r="G17" s="1047"/>
      <c r="H17" s="1047"/>
      <c r="I17" s="1047"/>
      <c r="J17" s="1047"/>
      <c r="K17" s="1047"/>
      <c r="L17" s="1047"/>
      <c r="M17" s="1047"/>
      <c r="N17" s="1047"/>
      <c r="O17" s="1047"/>
      <c r="P17" s="1047"/>
      <c r="Q17" s="1047"/>
      <c r="R17" s="1047"/>
      <c r="S17" s="1047"/>
      <c r="T17" s="1047"/>
      <c r="U17" s="578"/>
      <c r="V17" s="578"/>
      <c r="W17" s="578"/>
      <c r="X17" s="578"/>
      <c r="Y17" s="578"/>
      <c r="Z17" s="578"/>
      <c r="AA17" s="216" t="s">
        <v>230</v>
      </c>
      <c r="AB17" s="1086"/>
      <c r="AC17" s="1087"/>
      <c r="AD17" s="1087"/>
      <c r="AE17" s="1087"/>
      <c r="AF17" s="1087"/>
      <c r="AG17" s="1087"/>
      <c r="AH17" s="1087"/>
      <c r="AI17" s="1087"/>
      <c r="AJ17" s="1087"/>
      <c r="AK17" s="1087"/>
      <c r="AL17" s="1088"/>
      <c r="AM17" s="158"/>
      <c r="AN17" s="158"/>
      <c r="AO17"/>
      <c r="AP17" s="580" t="s">
        <v>913</v>
      </c>
      <c r="AQ17" s="265" t="s">
        <v>440</v>
      </c>
      <c r="AR17" s="158"/>
      <c r="AS17" s="158"/>
      <c r="AT17"/>
      <c r="AU17"/>
      <c r="AV17"/>
      <c r="AW17"/>
      <c r="AX17"/>
      <c r="AY17" s="158"/>
      <c r="AZ17" s="158"/>
      <c r="BA17" s="158"/>
      <c r="BB17" s="575"/>
      <c r="BC17" s="91"/>
    </row>
    <row r="18" spans="1:55" s="46" customFormat="1" ht="12.9" customHeight="1">
      <c r="A18" s="91"/>
      <c r="B18" s="1045" t="s">
        <v>1074</v>
      </c>
      <c r="C18" s="1046"/>
      <c r="D18" s="1046"/>
      <c r="E18" s="1046"/>
      <c r="F18" s="1046"/>
      <c r="G18" s="1047" t="s">
        <v>1077</v>
      </c>
      <c r="H18" s="1047"/>
      <c r="I18" s="1047"/>
      <c r="J18" s="1047"/>
      <c r="K18" s="1047"/>
      <c r="L18" s="1047"/>
      <c r="M18" s="1047"/>
      <c r="N18" s="1047"/>
      <c r="O18" s="1047"/>
      <c r="P18" s="1047"/>
      <c r="Q18" s="1047"/>
      <c r="R18" s="1047"/>
      <c r="S18" s="1047"/>
      <c r="T18" s="1047"/>
      <c r="U18" s="578"/>
      <c r="V18" s="578"/>
      <c r="W18" s="578"/>
      <c r="X18" s="578"/>
      <c r="Y18" s="578"/>
      <c r="Z18" s="578"/>
      <c r="AA18" s="216" t="s">
        <v>707</v>
      </c>
      <c r="AB18" s="1061"/>
      <c r="AC18" s="1062"/>
      <c r="AD18" s="1062"/>
      <c r="AE18" s="1062"/>
      <c r="AF18" s="1062"/>
      <c r="AG18" s="1062"/>
      <c r="AH18" s="1062"/>
      <c r="AI18" s="1062"/>
      <c r="AJ18" s="1062"/>
      <c r="AK18" s="1062"/>
      <c r="AL18" s="1063"/>
      <c r="AM18" s="158"/>
      <c r="AN18" s="158"/>
      <c r="AO18"/>
      <c r="AP18" s="579" t="s">
        <v>914</v>
      </c>
      <c r="AQ18" s="265" t="s">
        <v>458</v>
      </c>
      <c r="AR18" s="158"/>
      <c r="AS18" s="158"/>
      <c r="AT18"/>
      <c r="AU18"/>
      <c r="AV18"/>
      <c r="AW18"/>
      <c r="AX18"/>
      <c r="AY18" s="158"/>
      <c r="AZ18" s="158"/>
      <c r="BA18" s="158"/>
      <c r="BB18" s="575"/>
      <c r="BC18" s="91"/>
    </row>
    <row r="19" spans="1:55" s="46" customFormat="1" ht="12.9" customHeight="1">
      <c r="A19" s="91"/>
      <c r="B19" s="1045"/>
      <c r="C19" s="1046"/>
      <c r="D19" s="1046"/>
      <c r="E19" s="1046"/>
      <c r="F19" s="1046"/>
      <c r="G19" s="1047"/>
      <c r="H19" s="1047"/>
      <c r="I19" s="1047"/>
      <c r="J19" s="1047"/>
      <c r="K19" s="1047"/>
      <c r="L19" s="1047"/>
      <c r="M19" s="1047"/>
      <c r="N19" s="1047"/>
      <c r="O19" s="1047"/>
      <c r="P19" s="1047"/>
      <c r="Q19" s="1047"/>
      <c r="R19" s="1047"/>
      <c r="S19" s="1047"/>
      <c r="T19" s="1047"/>
      <c r="U19" s="578"/>
      <c r="V19" s="578"/>
      <c r="W19" s="578"/>
      <c r="X19" s="578"/>
      <c r="Y19" s="578"/>
      <c r="Z19" s="578"/>
      <c r="AA19" s="216" t="s">
        <v>921</v>
      </c>
      <c r="AB19" s="1061"/>
      <c r="AC19" s="1062"/>
      <c r="AD19" s="1062"/>
      <c r="AE19" s="1062"/>
      <c r="AF19" s="1063"/>
      <c r="AG19" s="581" t="s">
        <v>922</v>
      </c>
      <c r="AH19" s="578"/>
      <c r="AI19" s="578"/>
      <c r="AJ19" s="582"/>
      <c r="AK19" s="582"/>
      <c r="AL19" s="582"/>
      <c r="AM19" s="158"/>
      <c r="AN19" s="158"/>
      <c r="AO19"/>
      <c r="AP19" s="579" t="s">
        <v>910</v>
      </c>
      <c r="AQ19" s="265" t="s">
        <v>64</v>
      </c>
      <c r="AR19" s="158"/>
      <c r="AS19" s="158"/>
      <c r="AT19"/>
      <c r="AU19"/>
      <c r="AV19"/>
      <c r="AW19" s="216"/>
      <c r="AX19"/>
      <c r="AY19" s="158"/>
      <c r="AZ19" s="158"/>
      <c r="BA19" s="158"/>
      <c r="BB19" s="575"/>
      <c r="BC19" s="91"/>
    </row>
    <row r="20" spans="1:55" s="46" customFormat="1" ht="12.9" customHeight="1">
      <c r="A20" s="91"/>
      <c r="B20" s="1045"/>
      <c r="C20" s="1046"/>
      <c r="D20" s="1046"/>
      <c r="E20" s="1046"/>
      <c r="F20" s="1046"/>
      <c r="G20" s="1047"/>
      <c r="H20" s="1047"/>
      <c r="I20" s="1047"/>
      <c r="J20" s="1047"/>
      <c r="K20" s="1047"/>
      <c r="L20" s="1047"/>
      <c r="M20" s="1047"/>
      <c r="N20" s="1047"/>
      <c r="O20" s="1047"/>
      <c r="P20" s="1047"/>
      <c r="Q20" s="1047"/>
      <c r="R20" s="1047"/>
      <c r="S20" s="1047"/>
      <c r="T20" s="1047"/>
      <c r="U20" s="578"/>
      <c r="V20" s="578"/>
      <c r="W20" s="578"/>
      <c r="X20" s="578"/>
      <c r="Y20" s="578"/>
      <c r="Z20" s="578"/>
      <c r="AA20" s="216" t="s">
        <v>1004</v>
      </c>
      <c r="AB20" s="1086"/>
      <c r="AC20" s="1087"/>
      <c r="AD20" s="1087"/>
      <c r="AE20" s="1087"/>
      <c r="AF20" s="1087"/>
      <c r="AG20" s="1087"/>
      <c r="AH20" s="1087"/>
      <c r="AI20" s="1087"/>
      <c r="AJ20" s="1087"/>
      <c r="AK20" s="1087"/>
      <c r="AL20" s="1088"/>
      <c r="AM20" s="158"/>
      <c r="AN20" s="158"/>
      <c r="AO20"/>
      <c r="AP20" s="579" t="s">
        <v>911</v>
      </c>
      <c r="AQ20" s="265" t="s">
        <v>8</v>
      </c>
      <c r="AR20" s="158"/>
      <c r="AS20" s="158"/>
      <c r="AT20"/>
      <c r="AU20"/>
      <c r="AV20"/>
      <c r="AW20" s="216"/>
      <c r="AX20"/>
      <c r="AY20" s="158"/>
      <c r="AZ20" s="158"/>
      <c r="BA20" s="158"/>
      <c r="BB20" s="575"/>
      <c r="BC20" s="91"/>
    </row>
    <row r="21" spans="1:55" s="46" customFormat="1" ht="12.9" customHeight="1">
      <c r="A21" s="91"/>
      <c r="B21" s="1045" t="s">
        <v>936</v>
      </c>
      <c r="C21" s="1046"/>
      <c r="D21" s="1046"/>
      <c r="E21" s="1046"/>
      <c r="F21" s="1046"/>
      <c r="G21" s="1047" t="s">
        <v>966</v>
      </c>
      <c r="H21" s="1047"/>
      <c r="I21" s="1047"/>
      <c r="J21" s="1047"/>
      <c r="K21" s="1047"/>
      <c r="L21" s="1047"/>
      <c r="M21" s="1047"/>
      <c r="N21" s="1047"/>
      <c r="O21" s="1047"/>
      <c r="P21" s="1047"/>
      <c r="Q21" s="1047"/>
      <c r="R21" s="1047"/>
      <c r="S21" s="1047"/>
      <c r="T21" s="1047"/>
      <c r="U21" s="578"/>
      <c r="V21" s="578"/>
      <c r="W21" s="578"/>
      <c r="X21" s="578"/>
      <c r="Y21" s="578"/>
      <c r="Z21" s="578"/>
      <c r="AA21" s="216" t="s">
        <v>1005</v>
      </c>
      <c r="AB21" s="1092"/>
      <c r="AC21" s="1093"/>
      <c r="AD21" s="1093"/>
      <c r="AE21" s="1093"/>
      <c r="AF21" s="1093"/>
      <c r="AG21" s="1093"/>
      <c r="AH21" s="1093"/>
      <c r="AI21" s="1093"/>
      <c r="AJ21" s="1093"/>
      <c r="AK21" s="1093"/>
      <c r="AL21" s="1094"/>
      <c r="AM21" s="158"/>
      <c r="AN21" s="158"/>
      <c r="AO21"/>
      <c r="AP21" s="579" t="s">
        <v>912</v>
      </c>
      <c r="AQ21" s="265" t="s">
        <v>7</v>
      </c>
      <c r="AR21" s="158"/>
      <c r="AS21" s="158"/>
      <c r="AT21"/>
      <c r="AU21"/>
      <c r="AV21"/>
      <c r="AW21" s="216"/>
      <c r="AX21"/>
      <c r="AY21" s="158"/>
      <c r="AZ21" s="158"/>
      <c r="BA21" s="158"/>
      <c r="BB21" s="575"/>
      <c r="BC21" s="91"/>
    </row>
    <row r="22" spans="1:55" s="46" customFormat="1" ht="12.9" customHeight="1">
      <c r="A22" s="91"/>
      <c r="B22" s="1045"/>
      <c r="C22" s="1046"/>
      <c r="D22" s="1046"/>
      <c r="E22" s="1046"/>
      <c r="F22" s="1046"/>
      <c r="G22" s="1047"/>
      <c r="H22" s="1047"/>
      <c r="I22" s="1047"/>
      <c r="J22" s="1047"/>
      <c r="K22" s="1047"/>
      <c r="L22" s="1047"/>
      <c r="M22" s="1047"/>
      <c r="N22" s="1047"/>
      <c r="O22" s="1047"/>
      <c r="P22" s="1047"/>
      <c r="Q22" s="1047"/>
      <c r="R22" s="1047"/>
      <c r="S22" s="1047"/>
      <c r="T22" s="1047"/>
      <c r="U22" s="578"/>
      <c r="V22" s="578"/>
      <c r="W22" s="578"/>
      <c r="X22" s="578"/>
      <c r="Y22" s="578"/>
      <c r="Z22" s="578"/>
      <c r="AA22" s="216" t="s">
        <v>234</v>
      </c>
      <c r="AB22" s="1083"/>
      <c r="AC22" s="1084"/>
      <c r="AD22" s="1084"/>
      <c r="AE22" s="1084"/>
      <c r="AF22" s="1084"/>
      <c r="AG22" s="1084"/>
      <c r="AH22" s="1084"/>
      <c r="AI22" s="1084"/>
      <c r="AJ22" s="1084"/>
      <c r="AK22" s="1084"/>
      <c r="AL22" s="1085"/>
      <c r="AM22" s="158"/>
      <c r="AN22" s="158"/>
      <c r="AO22"/>
      <c r="AP22" s="579" t="s">
        <v>562</v>
      </c>
      <c r="AQ22" s="265" t="s">
        <v>52</v>
      </c>
      <c r="AR22" s="158"/>
      <c r="AS22" s="158"/>
      <c r="AT22"/>
      <c r="AU22"/>
      <c r="AV22"/>
      <c r="AW22" s="216"/>
      <c r="AX22"/>
      <c r="AY22" s="158"/>
      <c r="AZ22" s="158"/>
      <c r="BA22" s="158"/>
      <c r="BB22" s="575"/>
      <c r="BC22" s="91"/>
    </row>
    <row r="23" spans="1:55" s="46" customFormat="1" ht="12.9" customHeight="1">
      <c r="A23" s="91"/>
      <c r="B23" s="1045"/>
      <c r="C23" s="1046"/>
      <c r="D23" s="1046"/>
      <c r="E23" s="1046"/>
      <c r="F23" s="1046"/>
      <c r="G23" s="1047"/>
      <c r="H23" s="1047"/>
      <c r="I23" s="1047"/>
      <c r="J23" s="1047"/>
      <c r="K23" s="1047"/>
      <c r="L23" s="1047"/>
      <c r="M23" s="1047"/>
      <c r="N23" s="1047"/>
      <c r="O23" s="1047"/>
      <c r="P23" s="1047"/>
      <c r="Q23" s="1047"/>
      <c r="R23" s="1047"/>
      <c r="S23" s="1047"/>
      <c r="T23" s="1047"/>
      <c r="U23" s="578"/>
      <c r="AA23" s="216" t="s">
        <v>1002</v>
      </c>
      <c r="AB23" s="1049"/>
      <c r="AC23" s="1050"/>
      <c r="AD23" s="1050"/>
      <c r="AE23" s="1050"/>
      <c r="AF23" s="1051"/>
      <c r="AG23" s="1052"/>
      <c r="AH23" s="1052"/>
      <c r="AI23" s="1052"/>
      <c r="AJ23" s="1052"/>
      <c r="AK23" s="1052"/>
      <c r="AL23" s="1052"/>
      <c r="AM23" s="158"/>
      <c r="AN23" s="158"/>
      <c r="AO23"/>
      <c r="AP23" s="579" t="s">
        <v>575</v>
      </c>
      <c r="AQ23" s="265" t="s">
        <v>665</v>
      </c>
      <c r="AR23" s="158"/>
      <c r="AS23" s="158"/>
      <c r="AT23" s="158"/>
      <c r="AU23" s="158"/>
      <c r="AV23" s="158"/>
      <c r="AW23" s="158"/>
      <c r="AX23" s="158"/>
      <c r="AY23" s="158"/>
      <c r="AZ23" s="158"/>
      <c r="BA23" s="158"/>
      <c r="BB23" s="575"/>
      <c r="BC23" s="91"/>
    </row>
    <row r="24" spans="1:55" s="46" customFormat="1" ht="12.9" customHeight="1">
      <c r="A24" s="91"/>
      <c r="B24" s="1045" t="s">
        <v>938</v>
      </c>
      <c r="C24" s="1046"/>
      <c r="D24" s="1046"/>
      <c r="E24" s="1046"/>
      <c r="F24" s="1046"/>
      <c r="G24" s="1047" t="s">
        <v>939</v>
      </c>
      <c r="H24" s="1047"/>
      <c r="I24" s="1047"/>
      <c r="J24" s="1047"/>
      <c r="K24" s="1047"/>
      <c r="L24" s="1047"/>
      <c r="M24" s="1047"/>
      <c r="N24" s="1047"/>
      <c r="O24" s="1047"/>
      <c r="P24" s="1047"/>
      <c r="Q24" s="1047"/>
      <c r="R24" s="1047"/>
      <c r="S24" s="1047"/>
      <c r="T24" s="1047"/>
      <c r="U24" s="578"/>
      <c r="AA24" s="216" t="s">
        <v>994</v>
      </c>
      <c r="AB24" s="1022"/>
      <c r="AC24" s="1023"/>
      <c r="AD24" s="1023"/>
      <c r="AE24" s="1023"/>
      <c r="AF24" s="1053"/>
      <c r="AG24" s="1054"/>
      <c r="AH24" s="1055"/>
      <c r="AI24" s="1055"/>
      <c r="AJ24" s="1055"/>
      <c r="AK24" s="1055"/>
      <c r="AL24" s="1055"/>
      <c r="AM24" s="158"/>
      <c r="AN24" s="158"/>
      <c r="AO24"/>
      <c r="AP24" s="579" t="s">
        <v>590</v>
      </c>
      <c r="AQ24" s="265" t="s">
        <v>664</v>
      </c>
      <c r="AR24" s="158"/>
      <c r="AS24" s="158"/>
      <c r="AT24" s="158"/>
      <c r="AU24" s="158"/>
      <c r="AV24" s="158"/>
      <c r="AW24" s="158"/>
      <c r="AX24" s="158"/>
      <c r="AY24" s="158"/>
      <c r="AZ24" s="158"/>
      <c r="BA24" s="158"/>
      <c r="BB24" s="575"/>
      <c r="BC24" s="91"/>
    </row>
    <row r="25" spans="1:55" s="46" customFormat="1" ht="12.9" customHeight="1">
      <c r="A25" s="91"/>
      <c r="B25" s="1045"/>
      <c r="C25" s="1046"/>
      <c r="D25" s="1046"/>
      <c r="E25" s="1046"/>
      <c r="F25" s="1046"/>
      <c r="G25" s="1047"/>
      <c r="H25" s="1047"/>
      <c r="I25" s="1047"/>
      <c r="J25" s="1047"/>
      <c r="K25" s="1047"/>
      <c r="L25" s="1047"/>
      <c r="M25" s="1047"/>
      <c r="N25" s="1047"/>
      <c r="O25" s="1047"/>
      <c r="P25" s="1047"/>
      <c r="Q25" s="1047"/>
      <c r="R25" s="1047"/>
      <c r="S25" s="1047"/>
      <c r="T25" s="1047"/>
      <c r="U25" s="578"/>
      <c r="V25" s="578"/>
      <c r="W25" s="578"/>
      <c r="X25" s="578"/>
      <c r="Y25" s="578"/>
      <c r="Z25" s="578"/>
      <c r="AA25" s="216" t="s">
        <v>991</v>
      </c>
      <c r="AB25" s="1022"/>
      <c r="AC25" s="1023"/>
      <c r="AD25" s="1023"/>
      <c r="AE25" s="1023"/>
      <c r="AF25" s="1023"/>
      <c r="AG25" s="1023"/>
      <c r="AH25" s="1023"/>
      <c r="AI25" s="1023"/>
      <c r="AJ25" s="1023"/>
      <c r="AK25" s="1023"/>
      <c r="AL25" s="1024"/>
      <c r="AM25" s="158"/>
      <c r="AN25" s="158"/>
      <c r="AO25"/>
      <c r="AP25" s="579" t="s">
        <v>909</v>
      </c>
      <c r="AQ25" s="265" t="s">
        <v>591</v>
      </c>
      <c r="AR25" s="158"/>
      <c r="AS25" s="158"/>
      <c r="AT25" s="158"/>
      <c r="AU25" s="158"/>
      <c r="AV25" s="158"/>
      <c r="AW25" s="158"/>
      <c r="AX25" s="158"/>
      <c r="AY25" s="158"/>
      <c r="AZ25" s="158"/>
      <c r="BA25" s="158"/>
      <c r="BB25" s="575"/>
      <c r="BC25" s="91"/>
    </row>
    <row r="26" spans="1:55" s="46" customFormat="1" ht="12.9" customHeight="1">
      <c r="A26" s="91"/>
      <c r="B26" s="1045"/>
      <c r="C26" s="1046"/>
      <c r="D26" s="1046"/>
      <c r="E26" s="1046"/>
      <c r="F26" s="1046"/>
      <c r="G26" s="1047"/>
      <c r="H26" s="1047"/>
      <c r="I26" s="1047"/>
      <c r="J26" s="1047"/>
      <c r="K26" s="1047"/>
      <c r="L26" s="1047"/>
      <c r="M26" s="1047"/>
      <c r="N26" s="1047"/>
      <c r="O26" s="1047"/>
      <c r="P26" s="1047"/>
      <c r="Q26" s="1047"/>
      <c r="R26" s="1047"/>
      <c r="S26" s="1047"/>
      <c r="T26" s="1047"/>
      <c r="U26" s="578"/>
      <c r="V26" s="578"/>
      <c r="W26" s="578"/>
      <c r="X26" s="578"/>
      <c r="Y26" s="578"/>
      <c r="Z26" s="578"/>
      <c r="AA26" s="583" t="s">
        <v>988</v>
      </c>
      <c r="AB26" s="1022"/>
      <c r="AC26" s="1023"/>
      <c r="AD26" s="1023"/>
      <c r="AE26" s="1023"/>
      <c r="AF26" s="1023"/>
      <c r="AG26" s="1023"/>
      <c r="AH26" s="1023"/>
      <c r="AI26" s="1023"/>
      <c r="AJ26" s="1023"/>
      <c r="AK26" s="1023"/>
      <c r="AL26" s="1024"/>
      <c r="AM26" s="158"/>
      <c r="AN26" s="158"/>
      <c r="AO26"/>
      <c r="AP26" s="579" t="s">
        <v>906</v>
      </c>
      <c r="AQ26" s="265" t="s">
        <v>618</v>
      </c>
      <c r="AR26" s="158"/>
      <c r="AS26" s="158"/>
      <c r="AT26" s="158"/>
      <c r="AU26" s="158"/>
      <c r="AV26" s="158"/>
      <c r="AW26" s="158"/>
      <c r="AX26" s="158"/>
      <c r="AY26" s="158"/>
      <c r="AZ26" s="158"/>
      <c r="BA26" s="158"/>
      <c r="BB26" s="575"/>
      <c r="BC26" s="91"/>
    </row>
    <row r="27" spans="1:55" s="46" customFormat="1" ht="12.9" customHeight="1">
      <c r="A27" s="91"/>
      <c r="B27" s="1045" t="s">
        <v>777</v>
      </c>
      <c r="C27" s="1046"/>
      <c r="D27" s="1046"/>
      <c r="E27" s="1046"/>
      <c r="F27" s="1046"/>
      <c r="G27" s="1047" t="s">
        <v>984</v>
      </c>
      <c r="H27" s="1047"/>
      <c r="I27" s="1047"/>
      <c r="J27" s="1047"/>
      <c r="K27" s="1047"/>
      <c r="L27" s="1047"/>
      <c r="M27" s="1047"/>
      <c r="N27" s="1047"/>
      <c r="O27" s="1047"/>
      <c r="P27" s="1047"/>
      <c r="Q27" s="1047"/>
      <c r="R27" s="1047"/>
      <c r="S27" s="1047"/>
      <c r="T27" s="1047"/>
      <c r="U27" s="578"/>
      <c r="AA27" s="583" t="s">
        <v>989</v>
      </c>
      <c r="AB27" s="1022"/>
      <c r="AC27" s="1023"/>
      <c r="AD27" s="1023"/>
      <c r="AE27" s="1023"/>
      <c r="AF27" s="1023"/>
      <c r="AG27" s="1023"/>
      <c r="AH27" s="1023"/>
      <c r="AI27" s="1023"/>
      <c r="AJ27" s="1023"/>
      <c r="AK27" s="1023"/>
      <c r="AL27" s="1024"/>
      <c r="AM27" s="158"/>
      <c r="AN27" s="158"/>
      <c r="AO27"/>
      <c r="AP27" s="579" t="s">
        <v>907</v>
      </c>
      <c r="AQ27" s="265" t="s">
        <v>642</v>
      </c>
      <c r="AR27" s="158"/>
      <c r="AS27" s="158"/>
      <c r="AT27" s="158"/>
      <c r="AU27" s="158"/>
      <c r="AV27" s="158"/>
      <c r="AW27" s="158"/>
      <c r="AX27" s="158"/>
      <c r="AY27" s="158"/>
      <c r="AZ27" s="158"/>
      <c r="BA27" s="158"/>
      <c r="BB27" s="575"/>
      <c r="BC27" s="91"/>
    </row>
    <row r="28" spans="1:55" s="46" customFormat="1" ht="12.9" customHeight="1">
      <c r="A28" s="91"/>
      <c r="B28" s="1045"/>
      <c r="C28" s="1046"/>
      <c r="D28" s="1046"/>
      <c r="E28" s="1046"/>
      <c r="F28" s="1046"/>
      <c r="G28" s="1047"/>
      <c r="H28" s="1047"/>
      <c r="I28" s="1047"/>
      <c r="J28" s="1047"/>
      <c r="K28" s="1047"/>
      <c r="L28" s="1047"/>
      <c r="M28" s="1047"/>
      <c r="N28" s="1047"/>
      <c r="O28" s="1047"/>
      <c r="P28" s="1047"/>
      <c r="Q28" s="1047"/>
      <c r="R28" s="1047"/>
      <c r="S28" s="1047"/>
      <c r="T28" s="1047"/>
      <c r="U28" s="613"/>
      <c r="V28" s="578"/>
      <c r="W28" s="578"/>
      <c r="X28" s="578"/>
      <c r="Y28" s="578"/>
      <c r="Z28" s="578"/>
      <c r="AB28" s="576"/>
      <c r="AC28" s="576"/>
      <c r="AD28" s="576"/>
      <c r="AE28" s="576"/>
      <c r="AF28" s="576"/>
      <c r="AG28" s="576"/>
      <c r="AH28" s="216" t="s">
        <v>992</v>
      </c>
      <c r="AI28" s="1026"/>
      <c r="AJ28" s="1027"/>
      <c r="AK28" s="1027"/>
      <c r="AL28" s="1028"/>
      <c r="AM28" s="609"/>
      <c r="AN28" s="609"/>
      <c r="AO28" s="609"/>
      <c r="AP28" s="609"/>
      <c r="AQ28" s="609"/>
      <c r="AR28" s="609"/>
      <c r="AS28" s="609"/>
      <c r="AT28" s="609"/>
      <c r="AU28" s="609"/>
      <c r="AV28" s="609"/>
      <c r="AW28" s="609"/>
      <c r="AX28" s="609"/>
      <c r="AY28" s="609"/>
      <c r="AZ28" s="609"/>
      <c r="BA28" s="609"/>
      <c r="BB28" s="575"/>
      <c r="BC28" s="91"/>
    </row>
    <row r="29" spans="1:55" s="46" customFormat="1" ht="12.9" customHeight="1">
      <c r="A29" s="91"/>
      <c r="B29" s="1045"/>
      <c r="C29" s="1046"/>
      <c r="D29" s="1046"/>
      <c r="E29" s="1046"/>
      <c r="F29" s="1046"/>
      <c r="G29" s="1047"/>
      <c r="H29" s="1047"/>
      <c r="I29" s="1047"/>
      <c r="J29" s="1047"/>
      <c r="K29" s="1047"/>
      <c r="L29" s="1047"/>
      <c r="M29" s="1047"/>
      <c r="N29" s="1047"/>
      <c r="O29" s="1047"/>
      <c r="P29" s="1047"/>
      <c r="Q29" s="1047"/>
      <c r="R29" s="1047"/>
      <c r="S29" s="1047"/>
      <c r="T29" s="1047"/>
      <c r="U29" s="613"/>
      <c r="V29" s="613"/>
      <c r="Y29" s="613"/>
      <c r="Z29" s="613"/>
      <c r="AA29" s="600"/>
      <c r="AB29" s="600"/>
      <c r="AC29" s="600"/>
      <c r="AD29" s="600"/>
      <c r="AE29" s="600"/>
      <c r="AF29" s="600"/>
      <c r="AG29" s="576"/>
      <c r="AH29" s="576"/>
      <c r="AI29" s="609"/>
      <c r="AJ29" s="609"/>
      <c r="AK29" s="609"/>
      <c r="AL29" s="609"/>
      <c r="AM29" s="609"/>
      <c r="AN29" s="609"/>
      <c r="AO29" s="609"/>
      <c r="AP29" s="609"/>
      <c r="AQ29" s="609"/>
      <c r="AR29" s="609"/>
      <c r="AS29" s="609"/>
      <c r="AT29" s="609"/>
      <c r="AU29" s="609"/>
      <c r="AV29" s="609"/>
      <c r="AW29" s="609"/>
      <c r="AX29" s="609"/>
      <c r="AY29" s="609"/>
      <c r="AZ29" s="609"/>
      <c r="BA29" s="609"/>
      <c r="BB29" s="575"/>
      <c r="BC29" s="91"/>
    </row>
    <row r="30" spans="1:55" s="46" customFormat="1" ht="15.75" customHeight="1">
      <c r="A30" s="91"/>
      <c r="B30" s="1095" t="s">
        <v>1300</v>
      </c>
      <c r="C30" s="1096"/>
      <c r="D30" s="1096"/>
      <c r="E30" s="1096"/>
      <c r="F30" s="1096"/>
      <c r="G30" s="1047" t="s">
        <v>1318</v>
      </c>
      <c r="H30" s="1047"/>
      <c r="I30" s="1047"/>
      <c r="J30" s="1047"/>
      <c r="K30" s="1047"/>
      <c r="L30" s="1047"/>
      <c r="M30" s="1047"/>
      <c r="N30" s="1047"/>
      <c r="O30" s="1047"/>
      <c r="P30" s="1047"/>
      <c r="Q30" s="1047"/>
      <c r="R30" s="1047"/>
      <c r="S30" s="1047"/>
      <c r="T30" s="1047"/>
      <c r="U30" s="613"/>
      <c r="BB30" s="575"/>
      <c r="BC30" s="91"/>
    </row>
    <row r="31" spans="1:55" s="46" customFormat="1" ht="12.9" customHeight="1">
      <c r="A31" s="91"/>
      <c r="B31" s="1095"/>
      <c r="C31" s="1096"/>
      <c r="D31" s="1096"/>
      <c r="E31" s="1096"/>
      <c r="F31" s="1096"/>
      <c r="G31" s="1047"/>
      <c r="H31" s="1047"/>
      <c r="I31" s="1047"/>
      <c r="J31" s="1047"/>
      <c r="K31" s="1047"/>
      <c r="L31" s="1047"/>
      <c r="M31" s="1047"/>
      <c r="N31" s="1047"/>
      <c r="O31" s="1047"/>
      <c r="P31" s="1047"/>
      <c r="Q31" s="1047"/>
      <c r="R31" s="1047"/>
      <c r="S31" s="1047"/>
      <c r="T31" s="1047"/>
      <c r="U31" s="613"/>
      <c r="V31" s="613"/>
      <c r="Y31" s="617" t="s">
        <v>932</v>
      </c>
      <c r="Z31" s="613"/>
      <c r="AC31" s="628"/>
      <c r="AD31" s="635" t="s">
        <v>985</v>
      </c>
      <c r="AE31" s="629"/>
      <c r="AF31" s="630"/>
      <c r="AG31" s="631"/>
      <c r="AH31" s="632"/>
      <c r="AI31" s="633"/>
      <c r="AJ31" s="633"/>
      <c r="AK31" s="633"/>
      <c r="AL31" s="635" t="s">
        <v>986</v>
      </c>
      <c r="AM31" s="634"/>
      <c r="AN31" s="634"/>
      <c r="AO31" s="634"/>
      <c r="AP31" s="633"/>
      <c r="AQ31" s="633"/>
      <c r="AR31" s="633"/>
      <c r="AS31" s="633"/>
      <c r="AT31" s="628"/>
      <c r="AU31" s="627" t="s">
        <v>987</v>
      </c>
      <c r="AV31" s="643"/>
      <c r="AW31" s="644"/>
      <c r="AX31" s="645"/>
      <c r="AY31" s="609"/>
      <c r="AZ31" s="609"/>
      <c r="BA31" s="609"/>
      <c r="BB31" s="575"/>
      <c r="BC31" s="91"/>
    </row>
    <row r="32" spans="1:55" s="46" customFormat="1" ht="16.5" customHeight="1">
      <c r="A32" s="91"/>
      <c r="B32" s="1095"/>
      <c r="C32" s="1096"/>
      <c r="D32" s="1096"/>
      <c r="E32" s="1096"/>
      <c r="F32" s="1096"/>
      <c r="G32" s="1047"/>
      <c r="H32" s="1047"/>
      <c r="I32" s="1047"/>
      <c r="J32" s="1047"/>
      <c r="K32" s="1047"/>
      <c r="L32" s="1047"/>
      <c r="M32" s="1047"/>
      <c r="N32" s="1047"/>
      <c r="O32" s="1047"/>
      <c r="P32" s="1047"/>
      <c r="Q32" s="1047"/>
      <c r="R32" s="1047"/>
      <c r="S32" s="1047"/>
      <c r="T32" s="1047"/>
      <c r="U32" s="613"/>
      <c r="V32" s="613"/>
      <c r="W32" s="613"/>
      <c r="X32" s="613"/>
      <c r="Y32" s="613"/>
      <c r="Z32" s="613"/>
      <c r="AE32" s="600"/>
      <c r="AF32" s="600"/>
      <c r="AG32" s="576"/>
      <c r="AH32" s="576"/>
      <c r="AI32" s="610"/>
      <c r="AJ32" s="610"/>
      <c r="AK32" s="610"/>
      <c r="AL32" s="610"/>
      <c r="AM32" s="611"/>
      <c r="AN32" s="611"/>
      <c r="AO32" s="611"/>
      <c r="AP32" s="611"/>
      <c r="AQ32" s="611"/>
      <c r="AR32" s="611"/>
      <c r="AS32" s="611"/>
      <c r="AT32" s="611"/>
      <c r="AU32" s="611"/>
      <c r="AV32" s="611"/>
      <c r="AW32" s="611"/>
      <c r="AX32" s="611"/>
      <c r="AY32" s="611"/>
      <c r="AZ32" s="611"/>
      <c r="BA32" s="611"/>
      <c r="BB32" s="575"/>
      <c r="BC32" s="91"/>
    </row>
    <row r="33" spans="1:55" s="46" customFormat="1" ht="12.9" customHeight="1">
      <c r="A33" s="91"/>
      <c r="B33" s="1095" t="s">
        <v>1262</v>
      </c>
      <c r="C33" s="1096"/>
      <c r="D33" s="1096"/>
      <c r="E33" s="1096"/>
      <c r="F33" s="1096"/>
      <c r="G33" s="1047" t="s">
        <v>1319</v>
      </c>
      <c r="H33" s="1047"/>
      <c r="I33" s="1047"/>
      <c r="J33" s="1047"/>
      <c r="K33" s="1047"/>
      <c r="L33" s="1047"/>
      <c r="M33" s="1047"/>
      <c r="N33" s="1047"/>
      <c r="O33" s="1047"/>
      <c r="P33" s="1047"/>
      <c r="Q33" s="1047"/>
      <c r="R33" s="1047"/>
      <c r="S33" s="1047"/>
      <c r="T33" s="1047"/>
      <c r="U33" s="613"/>
      <c r="V33" s="613"/>
      <c r="W33" s="613"/>
      <c r="X33" s="613"/>
      <c r="Y33" s="613"/>
      <c r="Z33" s="613"/>
      <c r="AE33" s="600"/>
      <c r="AF33" s="600"/>
      <c r="AG33" s="576"/>
      <c r="AH33" s="576"/>
      <c r="AI33" s="610"/>
      <c r="AJ33" s="610"/>
      <c r="AK33" s="610"/>
      <c r="AL33" s="610"/>
      <c r="AM33" s="611"/>
      <c r="AN33" s="611"/>
      <c r="AO33" s="611"/>
      <c r="AP33" s="611"/>
      <c r="AQ33" s="611"/>
      <c r="AR33" s="611"/>
      <c r="AS33" s="611"/>
      <c r="AT33" s="611"/>
      <c r="AU33" s="611"/>
      <c r="AV33" s="611"/>
      <c r="AW33" s="611"/>
      <c r="AX33" s="611"/>
      <c r="AY33" s="611"/>
      <c r="AZ33" s="611"/>
      <c r="BA33" s="611"/>
      <c r="BB33" s="575"/>
      <c r="BC33" s="91"/>
    </row>
    <row r="34" spans="1:55" s="46" customFormat="1" ht="12.9" customHeight="1">
      <c r="A34" s="91"/>
      <c r="B34" s="1095"/>
      <c r="C34" s="1096"/>
      <c r="D34" s="1096"/>
      <c r="E34" s="1096"/>
      <c r="F34" s="1096"/>
      <c r="G34" s="1047"/>
      <c r="H34" s="1047"/>
      <c r="I34" s="1047"/>
      <c r="J34" s="1047"/>
      <c r="K34" s="1047"/>
      <c r="L34" s="1047"/>
      <c r="M34" s="1047"/>
      <c r="N34" s="1047"/>
      <c r="O34" s="1047"/>
      <c r="P34" s="1047"/>
      <c r="Q34" s="1047"/>
      <c r="R34" s="1047"/>
      <c r="S34" s="1047"/>
      <c r="T34" s="1047"/>
      <c r="U34" s="621"/>
      <c r="V34" s="613"/>
      <c r="X34" s="640"/>
      <c r="Y34" s="640"/>
      <c r="AA34" s="897" t="s">
        <v>924</v>
      </c>
      <c r="AB34" s="1021" t="s">
        <v>661</v>
      </c>
      <c r="AC34" s="1021"/>
      <c r="AD34" s="1021"/>
      <c r="AE34" s="1021"/>
      <c r="AF34" s="600"/>
      <c r="AG34" s="600"/>
      <c r="AH34" s="600"/>
      <c r="AI34" s="600"/>
      <c r="AJ34" s="610"/>
      <c r="AK34" s="610"/>
      <c r="AM34" s="640"/>
      <c r="AN34" s="640"/>
      <c r="AO34" s="640"/>
      <c r="AR34" s="897" t="s">
        <v>924</v>
      </c>
      <c r="AS34" s="1021" t="s">
        <v>667</v>
      </c>
      <c r="AT34" s="1021"/>
      <c r="AU34" s="1021"/>
      <c r="AV34" s="1021"/>
      <c r="AW34" s="1021"/>
      <c r="AX34" s="1021"/>
      <c r="AY34" s="1021"/>
      <c r="AZ34" s="1021"/>
      <c r="BA34" s="611"/>
      <c r="BB34" s="575"/>
      <c r="BC34" s="91"/>
    </row>
    <row r="35" spans="1:55" s="46" customFormat="1" ht="12.9" customHeight="1">
      <c r="A35" s="91"/>
      <c r="B35" s="1095"/>
      <c r="C35" s="1096"/>
      <c r="D35" s="1096"/>
      <c r="E35" s="1096"/>
      <c r="F35" s="1096"/>
      <c r="G35" s="1047"/>
      <c r="H35" s="1047"/>
      <c r="I35" s="1047"/>
      <c r="J35" s="1047"/>
      <c r="K35" s="1047"/>
      <c r="L35" s="1047"/>
      <c r="M35" s="1047"/>
      <c r="N35" s="1047"/>
      <c r="O35" s="1047"/>
      <c r="P35" s="1047"/>
      <c r="Q35" s="1047"/>
      <c r="R35" s="1047"/>
      <c r="S35" s="1047"/>
      <c r="T35" s="1047"/>
      <c r="U35" s="621"/>
      <c r="V35" s="613"/>
      <c r="W35" s="613"/>
      <c r="X35" s="613"/>
      <c r="Y35" s="613"/>
      <c r="Z35" s="600"/>
      <c r="AA35" s="600"/>
      <c r="AB35" s="600"/>
      <c r="AC35" s="600"/>
      <c r="AD35" s="600"/>
      <c r="AE35" s="600"/>
      <c r="AF35" s="576"/>
      <c r="AG35" s="576"/>
      <c r="AH35" s="576"/>
      <c r="AI35" s="610"/>
      <c r="AJ35" s="610"/>
      <c r="AK35" s="610"/>
      <c r="AL35" s="610"/>
      <c r="AM35" s="611"/>
      <c r="AN35" s="611"/>
      <c r="AO35" s="611"/>
      <c r="AP35" s="611"/>
      <c r="AQ35" s="611"/>
      <c r="AR35" s="611"/>
      <c r="AS35" s="611"/>
      <c r="AT35" s="611"/>
      <c r="AU35" s="611"/>
      <c r="AV35" s="611"/>
      <c r="AW35" s="611"/>
      <c r="AX35" s="611"/>
      <c r="AY35" s="611"/>
      <c r="AZ35" s="611"/>
      <c r="BA35" s="611"/>
      <c r="BB35" s="575"/>
      <c r="BC35" s="91"/>
    </row>
    <row r="36" spans="1:55" s="46" customFormat="1" ht="12.9" customHeight="1">
      <c r="A36" s="91"/>
      <c r="B36" s="1045" t="s">
        <v>940</v>
      </c>
      <c r="C36" s="1046"/>
      <c r="D36" s="1046"/>
      <c r="E36" s="1046"/>
      <c r="F36" s="1046"/>
      <c r="G36" s="1047" t="s">
        <v>941</v>
      </c>
      <c r="H36" s="1047"/>
      <c r="I36" s="1047"/>
      <c r="J36" s="1047"/>
      <c r="K36" s="1047"/>
      <c r="L36" s="1047"/>
      <c r="M36" s="1047"/>
      <c r="N36" s="1047"/>
      <c r="O36" s="1047"/>
      <c r="P36" s="1047"/>
      <c r="Q36" s="1047"/>
      <c r="R36" s="1047"/>
      <c r="S36" s="1047"/>
      <c r="T36" s="1047"/>
      <c r="U36" s="621"/>
      <c r="V36" s="1029" t="s">
        <v>983</v>
      </c>
      <c r="W36" s="1029"/>
      <c r="X36" s="1029"/>
      <c r="Y36" s="1029"/>
      <c r="Z36" s="1029"/>
      <c r="AA36" s="1029"/>
      <c r="AB36" s="1029"/>
      <c r="AC36" s="1029"/>
      <c r="AD36" s="1029"/>
      <c r="AE36" s="1029"/>
      <c r="AF36" s="1029"/>
      <c r="AG36" s="636"/>
      <c r="AH36" s="1025" t="s">
        <v>1229</v>
      </c>
      <c r="AI36" s="1025"/>
      <c r="AJ36" s="1025"/>
      <c r="AK36" s="1025"/>
      <c r="AL36" s="1025"/>
      <c r="AM36" s="1025"/>
      <c r="AN36" s="1025"/>
      <c r="AO36" s="1025"/>
      <c r="AP36" s="1025"/>
      <c r="AQ36" s="1025"/>
      <c r="AR36" s="1025"/>
      <c r="AS36" s="1025"/>
      <c r="AT36" s="1025"/>
      <c r="AU36" s="1025"/>
      <c r="AV36" s="1025"/>
      <c r="AW36" s="1025"/>
      <c r="AX36" s="1025"/>
      <c r="AY36" s="1025"/>
      <c r="AZ36" s="1025"/>
      <c r="BA36" s="1025"/>
      <c r="BB36" s="575"/>
      <c r="BC36" s="91"/>
    </row>
    <row r="37" spans="1:55" s="46" customFormat="1" ht="12.9" customHeight="1">
      <c r="A37" s="91"/>
      <c r="B37" s="1045"/>
      <c r="C37" s="1046"/>
      <c r="D37" s="1046"/>
      <c r="E37" s="1046"/>
      <c r="F37" s="1046"/>
      <c r="G37" s="1047"/>
      <c r="H37" s="1047"/>
      <c r="I37" s="1047"/>
      <c r="J37" s="1047"/>
      <c r="K37" s="1047"/>
      <c r="L37" s="1047"/>
      <c r="M37" s="1047"/>
      <c r="N37" s="1047"/>
      <c r="O37" s="1047"/>
      <c r="P37" s="1047"/>
      <c r="Q37" s="1047"/>
      <c r="R37" s="1047"/>
      <c r="S37" s="1047"/>
      <c r="T37" s="1047"/>
      <c r="U37" s="621"/>
      <c r="V37" s="1029" t="s">
        <v>965</v>
      </c>
      <c r="W37" s="1029"/>
      <c r="X37" s="1029"/>
      <c r="Y37" s="1029"/>
      <c r="Z37" s="1029"/>
      <c r="AA37" s="1029"/>
      <c r="AB37" s="1029"/>
      <c r="AC37" s="1029"/>
      <c r="AD37" s="1029"/>
      <c r="AE37" s="1029"/>
      <c r="AF37" s="1029"/>
      <c r="AG37" s="636"/>
      <c r="AH37" s="1025"/>
      <c r="AI37" s="1025"/>
      <c r="AJ37" s="1025"/>
      <c r="AK37" s="1025"/>
      <c r="AL37" s="1025"/>
      <c r="AM37" s="1025"/>
      <c r="AN37" s="1025"/>
      <c r="AO37" s="1025"/>
      <c r="AP37" s="1025"/>
      <c r="AQ37" s="1025"/>
      <c r="AR37" s="1025"/>
      <c r="AS37" s="1025"/>
      <c r="AT37" s="1025"/>
      <c r="AU37" s="1025"/>
      <c r="AV37" s="1025"/>
      <c r="AW37" s="1025"/>
      <c r="AX37" s="1025"/>
      <c r="AY37" s="1025"/>
      <c r="AZ37" s="1025"/>
      <c r="BA37" s="1025"/>
      <c r="BB37" s="575"/>
      <c r="BC37" s="91"/>
    </row>
    <row r="38" spans="1:55" s="46" customFormat="1" ht="12.9" customHeight="1">
      <c r="A38" s="91"/>
      <c r="B38" s="1045"/>
      <c r="C38" s="1046"/>
      <c r="D38" s="1046"/>
      <c r="E38" s="1046"/>
      <c r="F38" s="1046"/>
      <c r="G38" s="1047"/>
      <c r="H38" s="1047"/>
      <c r="I38" s="1047"/>
      <c r="J38" s="1047"/>
      <c r="K38" s="1047"/>
      <c r="L38" s="1047"/>
      <c r="M38" s="1047"/>
      <c r="N38" s="1047"/>
      <c r="O38" s="1047"/>
      <c r="P38" s="1047"/>
      <c r="Q38" s="1047"/>
      <c r="R38" s="1047"/>
      <c r="S38" s="1047"/>
      <c r="T38" s="1047"/>
      <c r="U38" s="621"/>
      <c r="V38" s="620"/>
      <c r="W38" s="620"/>
      <c r="X38" s="1020" t="s">
        <v>1008</v>
      </c>
      <c r="Y38" s="1020"/>
      <c r="Z38" s="1020"/>
      <c r="AA38" s="1020"/>
      <c r="AB38" s="1020"/>
      <c r="AC38" s="1020"/>
      <c r="AD38" s="1020"/>
      <c r="AE38" s="620"/>
      <c r="AF38" s="620"/>
      <c r="AG38" s="636"/>
      <c r="AH38" s="636"/>
      <c r="AI38" s="636"/>
      <c r="AJ38" s="636"/>
      <c r="AK38" s="620"/>
      <c r="AL38" s="619"/>
      <c r="AM38" s="610"/>
      <c r="AN38" s="622"/>
      <c r="AO38" s="608"/>
      <c r="AP38" s="608"/>
      <c r="AQ38" s="608"/>
      <c r="AR38" s="608"/>
      <c r="AS38" s="608"/>
      <c r="AT38" s="608"/>
      <c r="AU38" s="608"/>
      <c r="AV38" s="608"/>
      <c r="AW38" s="608"/>
      <c r="AX38" s="620"/>
      <c r="AY38" s="620"/>
      <c r="AZ38" s="623"/>
      <c r="BA38" s="611"/>
      <c r="BB38" s="575"/>
      <c r="BC38" s="91"/>
    </row>
    <row r="39" spans="1:55" s="46" customFormat="1" ht="12.9" customHeight="1">
      <c r="A39" s="91"/>
      <c r="B39" s="1045" t="s">
        <v>942</v>
      </c>
      <c r="C39" s="1046"/>
      <c r="D39" s="1046"/>
      <c r="E39" s="1046"/>
      <c r="F39" s="1046"/>
      <c r="G39" s="1048" t="s">
        <v>967</v>
      </c>
      <c r="H39" s="1048"/>
      <c r="I39" s="1048"/>
      <c r="J39" s="1048"/>
      <c r="K39" s="1048"/>
      <c r="L39" s="1048"/>
      <c r="M39" s="1048"/>
      <c r="N39" s="1048"/>
      <c r="O39" s="1048"/>
      <c r="P39" s="1048"/>
      <c r="Q39" s="1048"/>
      <c r="R39" s="1048"/>
      <c r="S39" s="1048"/>
      <c r="T39" s="1048"/>
      <c r="U39" s="621"/>
      <c r="V39" s="620"/>
      <c r="W39" s="1031">
        <v>0.01</v>
      </c>
      <c r="X39" s="1031"/>
      <c r="Y39" s="1031"/>
      <c r="Z39" s="1032" t="s">
        <v>781</v>
      </c>
      <c r="AA39" s="1033"/>
      <c r="AB39" s="1034"/>
      <c r="AC39" s="618" t="s">
        <v>872</v>
      </c>
      <c r="AD39" s="620"/>
      <c r="AE39" s="620"/>
      <c r="AF39" s="620"/>
      <c r="AG39" s="620"/>
      <c r="AH39" s="620"/>
      <c r="AI39" s="620"/>
      <c r="AJ39" s="620"/>
      <c r="AK39" s="620"/>
      <c r="AL39" s="619"/>
      <c r="AM39" s="610"/>
      <c r="AN39" s="622"/>
      <c r="AO39" s="1030"/>
      <c r="AP39" s="1030"/>
      <c r="AQ39" s="1030"/>
      <c r="AR39" s="1030"/>
      <c r="AS39" s="1030"/>
      <c r="AT39" s="1030"/>
      <c r="AU39" s="1030"/>
      <c r="AV39" s="1030"/>
      <c r="AW39" s="1030"/>
      <c r="AX39" s="620"/>
      <c r="AY39" s="620"/>
      <c r="AZ39" s="624"/>
      <c r="BA39" s="611"/>
      <c r="BB39" s="575"/>
      <c r="BC39" s="91"/>
    </row>
    <row r="40" spans="1:55" s="46" customFormat="1" ht="12.9" customHeight="1">
      <c r="A40" s="91"/>
      <c r="B40" s="1045"/>
      <c r="C40" s="1046"/>
      <c r="D40" s="1046"/>
      <c r="E40" s="1046"/>
      <c r="F40" s="1046"/>
      <c r="G40" s="1048"/>
      <c r="H40" s="1048"/>
      <c r="I40" s="1048"/>
      <c r="J40" s="1048"/>
      <c r="K40" s="1048"/>
      <c r="L40" s="1048"/>
      <c r="M40" s="1048"/>
      <c r="N40" s="1048"/>
      <c r="O40" s="1048"/>
      <c r="P40" s="1048"/>
      <c r="Q40" s="1048"/>
      <c r="R40" s="1048"/>
      <c r="S40" s="1048"/>
      <c r="T40" s="1048"/>
      <c r="U40" s="621"/>
      <c r="V40" s="620"/>
      <c r="W40" s="620"/>
      <c r="X40" s="620"/>
      <c r="Y40" s="620"/>
      <c r="Z40" s="1032" t="s">
        <v>782</v>
      </c>
      <c r="AA40" s="1033"/>
      <c r="AB40" s="1034"/>
      <c r="AC40" s="1040" t="s">
        <v>935</v>
      </c>
      <c r="AD40" s="1041"/>
      <c r="AE40" s="1041"/>
      <c r="AF40" s="620"/>
      <c r="AG40" s="620"/>
      <c r="AH40" s="620"/>
      <c r="AI40" s="620"/>
      <c r="AJ40" s="620"/>
      <c r="AK40" s="620"/>
      <c r="AL40" s="619"/>
      <c r="AM40" s="610"/>
      <c r="AN40" s="626"/>
      <c r="AO40" s="1030"/>
      <c r="AP40" s="1030"/>
      <c r="AQ40" s="1030"/>
      <c r="AR40" s="1030"/>
      <c r="AS40" s="1030"/>
      <c r="AT40" s="1030"/>
      <c r="AU40" s="1030"/>
      <c r="AV40" s="1030"/>
      <c r="AW40" s="1030"/>
      <c r="AX40" s="620"/>
      <c r="AY40" s="620"/>
      <c r="AZ40" s="624"/>
      <c r="BA40" s="611"/>
      <c r="BB40" s="575"/>
      <c r="BC40" s="91"/>
    </row>
    <row r="41" spans="1:55" s="46" customFormat="1" ht="12.9" customHeight="1">
      <c r="A41" s="91"/>
      <c r="B41" s="1045"/>
      <c r="C41" s="1046"/>
      <c r="D41" s="1046"/>
      <c r="E41" s="1046"/>
      <c r="F41" s="1046"/>
      <c r="G41" s="1048"/>
      <c r="H41" s="1048"/>
      <c r="I41" s="1048"/>
      <c r="J41" s="1048"/>
      <c r="K41" s="1048"/>
      <c r="L41" s="1048"/>
      <c r="M41" s="1048"/>
      <c r="N41" s="1048"/>
      <c r="O41" s="1048"/>
      <c r="P41" s="1048"/>
      <c r="Q41" s="1048"/>
      <c r="R41" s="1048"/>
      <c r="S41" s="1048"/>
      <c r="T41" s="1048"/>
      <c r="U41" s="621"/>
      <c r="V41" s="620"/>
      <c r="W41" s="620"/>
      <c r="X41" s="620"/>
      <c r="Y41" s="620"/>
      <c r="Z41" s="620"/>
      <c r="AA41" s="620"/>
      <c r="AB41" s="620"/>
      <c r="AC41" s="620"/>
      <c r="AD41" s="620"/>
      <c r="AE41" s="620"/>
      <c r="AF41" s="620"/>
      <c r="AG41" s="620"/>
      <c r="AH41" s="620"/>
      <c r="AI41" s="620"/>
      <c r="AJ41" s="620"/>
      <c r="AK41" s="620"/>
      <c r="AL41" s="619"/>
      <c r="AM41" s="610"/>
      <c r="AN41" s="626"/>
      <c r="AO41" s="608"/>
      <c r="AP41" s="608"/>
      <c r="AQ41" s="608"/>
      <c r="AR41" s="608"/>
      <c r="AS41" s="608"/>
      <c r="AT41" s="608"/>
      <c r="AU41" s="608"/>
      <c r="AV41" s="608"/>
      <c r="AW41" s="608"/>
      <c r="AX41" s="620"/>
      <c r="AY41" s="620"/>
      <c r="AZ41" s="624"/>
      <c r="BA41" s="611"/>
      <c r="BB41" s="575"/>
      <c r="BC41" s="91"/>
    </row>
    <row r="42" spans="1:55" s="46" customFormat="1" ht="12.9" customHeight="1">
      <c r="A42" s="91"/>
      <c r="B42" s="1045" t="s">
        <v>943</v>
      </c>
      <c r="C42" s="1046"/>
      <c r="D42" s="1046"/>
      <c r="E42" s="1046"/>
      <c r="F42" s="1046"/>
      <c r="G42" s="1048" t="s">
        <v>944</v>
      </c>
      <c r="H42" s="1048"/>
      <c r="I42" s="1048"/>
      <c r="J42" s="1048"/>
      <c r="K42" s="1048"/>
      <c r="L42" s="1048"/>
      <c r="M42" s="1048"/>
      <c r="N42" s="1048"/>
      <c r="O42" s="1048"/>
      <c r="P42" s="1048"/>
      <c r="Q42" s="1048"/>
      <c r="R42" s="1048"/>
      <c r="S42" s="1048"/>
      <c r="T42" s="1048"/>
      <c r="U42" s="621"/>
      <c r="V42" s="1029" t="s">
        <v>982</v>
      </c>
      <c r="W42" s="1029"/>
      <c r="X42" s="1029"/>
      <c r="Y42" s="1029"/>
      <c r="Z42" s="1029"/>
      <c r="AA42" s="1029"/>
      <c r="AB42" s="1029"/>
      <c r="AC42" s="1029"/>
      <c r="AD42" s="1029"/>
      <c r="AE42" s="1029"/>
      <c r="AF42" s="1029"/>
      <c r="AG42" s="620"/>
      <c r="AH42" s="1030" t="s">
        <v>1228</v>
      </c>
      <c r="AI42" s="1030"/>
      <c r="AJ42" s="1030"/>
      <c r="AK42" s="1030"/>
      <c r="AL42" s="1030"/>
      <c r="AM42" s="1030"/>
      <c r="AN42" s="1030"/>
      <c r="AO42" s="1030"/>
      <c r="AP42" s="1030"/>
      <c r="AQ42" s="1030"/>
      <c r="AR42" s="1030"/>
      <c r="AS42" s="1030"/>
      <c r="AT42" s="1030"/>
      <c r="AU42" s="1030"/>
      <c r="AV42" s="1030"/>
      <c r="AW42" s="1030"/>
      <c r="BB42" s="575"/>
      <c r="BC42" s="91"/>
    </row>
    <row r="43" spans="1:55" s="46" customFormat="1" ht="12.9" customHeight="1">
      <c r="A43" s="91"/>
      <c r="B43" s="1045"/>
      <c r="C43" s="1046"/>
      <c r="D43" s="1046"/>
      <c r="E43" s="1046"/>
      <c r="F43" s="1046"/>
      <c r="G43" s="1048"/>
      <c r="H43" s="1048"/>
      <c r="I43" s="1048"/>
      <c r="J43" s="1048"/>
      <c r="K43" s="1048"/>
      <c r="L43" s="1048"/>
      <c r="M43" s="1048"/>
      <c r="N43" s="1048"/>
      <c r="O43" s="1048"/>
      <c r="P43" s="1048"/>
      <c r="Q43" s="1048"/>
      <c r="R43" s="1048"/>
      <c r="S43" s="1048"/>
      <c r="T43" s="1048"/>
      <c r="U43" s="621"/>
      <c r="V43" s="1029" t="s">
        <v>937</v>
      </c>
      <c r="W43" s="1029"/>
      <c r="X43" s="1029"/>
      <c r="Y43" s="1029"/>
      <c r="Z43" s="1029"/>
      <c r="AA43" s="1029"/>
      <c r="AB43" s="1029"/>
      <c r="AC43" s="1029"/>
      <c r="AD43" s="1029"/>
      <c r="AE43" s="1029"/>
      <c r="AF43" s="1029"/>
      <c r="AG43" s="636"/>
      <c r="AH43" s="1030"/>
      <c r="AI43" s="1030"/>
      <c r="AJ43" s="1030"/>
      <c r="AK43" s="1030"/>
      <c r="AL43" s="1030"/>
      <c r="AM43" s="1030"/>
      <c r="AN43" s="1030"/>
      <c r="AO43" s="1030"/>
      <c r="AP43" s="1030"/>
      <c r="AQ43" s="1030"/>
      <c r="AR43" s="1030"/>
      <c r="AS43" s="1030"/>
      <c r="AT43" s="1030"/>
      <c r="AU43" s="1030"/>
      <c r="AV43" s="1030"/>
      <c r="AW43" s="1030"/>
      <c r="AX43" s="1042"/>
      <c r="AY43" s="1043"/>
      <c r="AZ43" s="1044"/>
      <c r="BA43" s="611"/>
      <c r="BB43" s="575"/>
      <c r="BC43" s="91"/>
    </row>
    <row r="44" spans="1:55" s="46" customFormat="1" ht="12.9" customHeight="1">
      <c r="A44" s="91"/>
      <c r="B44" s="1045"/>
      <c r="C44" s="1046"/>
      <c r="D44" s="1046"/>
      <c r="E44" s="1046"/>
      <c r="F44" s="1046"/>
      <c r="G44" s="1048"/>
      <c r="H44" s="1048"/>
      <c r="I44" s="1048"/>
      <c r="J44" s="1048"/>
      <c r="K44" s="1048"/>
      <c r="L44" s="1048"/>
      <c r="M44" s="1048"/>
      <c r="N44" s="1048"/>
      <c r="O44" s="1048"/>
      <c r="P44" s="1048"/>
      <c r="Q44" s="1048"/>
      <c r="R44" s="1048"/>
      <c r="S44" s="1048"/>
      <c r="T44" s="1048"/>
      <c r="U44" s="621"/>
      <c r="V44" s="620"/>
      <c r="W44" s="620"/>
      <c r="X44" s="1020" t="s">
        <v>1008</v>
      </c>
      <c r="Y44" s="1020"/>
      <c r="Z44" s="1020"/>
      <c r="AA44" s="1020"/>
      <c r="AB44" s="1020"/>
      <c r="AC44" s="1020"/>
      <c r="AD44" s="1020"/>
      <c r="AE44" s="620"/>
      <c r="AF44" s="620"/>
      <c r="AG44" s="636"/>
      <c r="AH44" s="1030"/>
      <c r="AI44" s="1030"/>
      <c r="AJ44" s="1030"/>
      <c r="AK44" s="1030"/>
      <c r="AL44" s="1030"/>
      <c r="AM44" s="1030"/>
      <c r="AN44" s="1030"/>
      <c r="AO44" s="1030"/>
      <c r="AP44" s="1030"/>
      <c r="AQ44" s="1030"/>
      <c r="AR44" s="1030"/>
      <c r="AS44" s="1030"/>
      <c r="AT44" s="1030"/>
      <c r="AU44" s="1030"/>
      <c r="AV44" s="1030"/>
      <c r="AW44" s="1030"/>
      <c r="AX44" s="608"/>
      <c r="AY44" s="608"/>
      <c r="AZ44" s="608"/>
      <c r="BA44" s="611"/>
      <c r="BB44" s="575"/>
      <c r="BC44" s="91"/>
    </row>
    <row r="45" spans="1:55" s="46" customFormat="1" ht="12.9" customHeight="1">
      <c r="A45" s="91"/>
      <c r="B45" s="1045" t="s">
        <v>945</v>
      </c>
      <c r="C45" s="1046"/>
      <c r="D45" s="1046"/>
      <c r="E45" s="1046"/>
      <c r="F45" s="1046"/>
      <c r="G45" s="1048" t="s">
        <v>1320</v>
      </c>
      <c r="H45" s="1048"/>
      <c r="I45" s="1048"/>
      <c r="J45" s="1048"/>
      <c r="K45" s="1048"/>
      <c r="L45" s="1048"/>
      <c r="M45" s="1048"/>
      <c r="N45" s="1048"/>
      <c r="O45" s="1048"/>
      <c r="P45" s="1048"/>
      <c r="Q45" s="1048"/>
      <c r="R45" s="1048"/>
      <c r="S45" s="1048"/>
      <c r="T45" s="1048"/>
      <c r="U45" s="614"/>
      <c r="V45" s="620"/>
      <c r="W45" s="1037">
        <v>2.5000000000000001E-3</v>
      </c>
      <c r="X45" s="1038"/>
      <c r="Y45" s="1039"/>
      <c r="Z45" s="1033" t="s">
        <v>780</v>
      </c>
      <c r="AA45" s="1033"/>
      <c r="AB45" s="1034"/>
      <c r="AC45" s="618" t="s">
        <v>872</v>
      </c>
      <c r="AD45" s="620"/>
      <c r="AE45" s="620"/>
      <c r="AF45" s="620"/>
      <c r="AG45" s="636"/>
      <c r="AH45" s="636"/>
      <c r="AI45" s="1036" t="s">
        <v>1227</v>
      </c>
      <c r="AJ45" s="1036"/>
      <c r="AK45" s="1036"/>
      <c r="AL45" s="1036"/>
      <c r="AM45" s="1036"/>
      <c r="AN45" s="1036"/>
      <c r="AO45" s="1036"/>
      <c r="AP45" s="1036"/>
      <c r="AQ45" s="1036"/>
      <c r="AR45" s="1036"/>
      <c r="AS45" s="1036"/>
      <c r="AT45" s="1036"/>
      <c r="AU45" s="1036"/>
      <c r="AV45" s="1036"/>
      <c r="AW45" s="1036"/>
      <c r="AX45" s="611"/>
      <c r="AY45" s="611"/>
      <c r="AZ45" s="611"/>
      <c r="BA45" s="611"/>
      <c r="BB45" s="575"/>
      <c r="BC45" s="91"/>
    </row>
    <row r="46" spans="1:55" s="46" customFormat="1" ht="12.9" customHeight="1">
      <c r="A46" s="91"/>
      <c r="B46" s="1045"/>
      <c r="C46" s="1046"/>
      <c r="D46" s="1046"/>
      <c r="E46" s="1046"/>
      <c r="F46" s="1046"/>
      <c r="G46" s="1048"/>
      <c r="H46" s="1048"/>
      <c r="I46" s="1048"/>
      <c r="J46" s="1048"/>
      <c r="K46" s="1048"/>
      <c r="L46" s="1048"/>
      <c r="M46" s="1048"/>
      <c r="N46" s="1048"/>
      <c r="O46" s="1048"/>
      <c r="P46" s="1048"/>
      <c r="Q46" s="1048"/>
      <c r="R46" s="1048"/>
      <c r="S46" s="1048"/>
      <c r="T46" s="1048"/>
      <c r="U46" s="614"/>
      <c r="V46" s="620"/>
      <c r="W46" s="620"/>
      <c r="X46" s="620"/>
      <c r="Y46" s="620"/>
      <c r="Z46" s="1032" t="s">
        <v>829</v>
      </c>
      <c r="AA46" s="1033"/>
      <c r="AB46" s="1034"/>
      <c r="AC46" s="1040" t="s">
        <v>1009</v>
      </c>
      <c r="AD46" s="1041"/>
      <c r="AE46" s="1041"/>
      <c r="AF46" s="620"/>
      <c r="AG46" s="620"/>
      <c r="AH46" s="620"/>
      <c r="AI46" s="1036"/>
      <c r="AJ46" s="1036"/>
      <c r="AK46" s="1036"/>
      <c r="AL46" s="1036"/>
      <c r="AM46" s="1036"/>
      <c r="AN46" s="1036"/>
      <c r="AO46" s="1036"/>
      <c r="AP46" s="1036"/>
      <c r="AQ46" s="1036"/>
      <c r="AR46" s="1036"/>
      <c r="AS46" s="1036"/>
      <c r="AT46" s="1036"/>
      <c r="AU46" s="1036"/>
      <c r="AV46" s="1036"/>
      <c r="AW46" s="1036"/>
      <c r="AX46" s="1035">
        <v>7</v>
      </c>
      <c r="AY46" s="1035"/>
      <c r="AZ46" s="1035"/>
      <c r="BA46" s="611"/>
      <c r="BB46" s="575"/>
      <c r="BC46" s="91"/>
    </row>
    <row r="47" spans="1:55" s="46" customFormat="1" ht="12.9" customHeight="1">
      <c r="A47" s="91"/>
      <c r="B47" s="1045"/>
      <c r="C47" s="1046"/>
      <c r="D47" s="1046"/>
      <c r="E47" s="1046"/>
      <c r="F47" s="1046"/>
      <c r="G47" s="1048"/>
      <c r="H47" s="1048"/>
      <c r="I47" s="1048"/>
      <c r="J47" s="1048"/>
      <c r="K47" s="1048"/>
      <c r="L47" s="1048"/>
      <c r="M47" s="1048"/>
      <c r="N47" s="1048"/>
      <c r="O47" s="1048"/>
      <c r="P47" s="1048"/>
      <c r="Q47" s="1048"/>
      <c r="R47" s="1048"/>
      <c r="S47" s="1048"/>
      <c r="T47" s="1048"/>
      <c r="U47" s="614"/>
      <c r="V47" s="620"/>
      <c r="W47" s="620"/>
      <c r="X47" s="620"/>
      <c r="Y47" s="620"/>
      <c r="Z47" s="620"/>
      <c r="AA47" s="620"/>
      <c r="AB47" s="620"/>
      <c r="AC47" s="620"/>
      <c r="AD47" s="620"/>
      <c r="AF47" s="775"/>
      <c r="AG47" s="620"/>
      <c r="AH47" s="620"/>
      <c r="AI47" s="1036"/>
      <c r="AJ47" s="1036"/>
      <c r="AK47" s="1036"/>
      <c r="AL47" s="1036"/>
      <c r="AM47" s="1036"/>
      <c r="AN47" s="1036"/>
      <c r="AO47" s="1036"/>
      <c r="AP47" s="1036"/>
      <c r="AQ47" s="1036"/>
      <c r="AR47" s="1036"/>
      <c r="AS47" s="1036"/>
      <c r="AT47" s="1036"/>
      <c r="AU47" s="1036"/>
      <c r="AV47" s="1036"/>
      <c r="AW47" s="1036"/>
      <c r="AX47" s="625"/>
      <c r="AY47" s="625"/>
      <c r="AZ47" s="625"/>
      <c r="BA47" s="611"/>
      <c r="BB47" s="575"/>
      <c r="BC47" s="91"/>
    </row>
    <row r="48" spans="1:55" s="46" customFormat="1" ht="12.9" customHeight="1">
      <c r="A48" s="91"/>
      <c r="B48" s="584"/>
      <c r="U48" s="613"/>
      <c r="V48" s="613"/>
      <c r="W48" s="613"/>
      <c r="X48" s="613"/>
      <c r="Y48" s="613"/>
      <c r="Z48" s="613"/>
      <c r="AA48" s="600"/>
      <c r="AB48" s="600"/>
      <c r="AC48" s="600"/>
      <c r="AD48" s="1030" t="s">
        <v>1237</v>
      </c>
      <c r="AE48" s="1030"/>
      <c r="AF48" s="1030"/>
      <c r="AG48" s="1030"/>
      <c r="AH48" s="1030"/>
      <c r="AI48" s="1030"/>
      <c r="AJ48" s="1030"/>
      <c r="AK48" s="1030"/>
      <c r="AL48" s="1030"/>
      <c r="AM48" s="1030"/>
      <c r="AN48" s="1030"/>
      <c r="AO48" s="1030"/>
      <c r="AP48" s="1030"/>
      <c r="AQ48" s="1030"/>
      <c r="AR48" s="1030"/>
      <c r="AS48" s="1030"/>
      <c r="AT48" s="1030"/>
      <c r="AU48" s="1030"/>
      <c r="AV48" s="1030"/>
      <c r="AW48" s="1030"/>
      <c r="AX48" s="1029" t="s">
        <v>928</v>
      </c>
      <c r="AY48" s="1029"/>
      <c r="AZ48" s="1029"/>
      <c r="BA48" s="611"/>
      <c r="BB48" s="575"/>
      <c r="BC48" s="91"/>
    </row>
    <row r="49" spans="1:55" s="46" customFormat="1" ht="12.9" customHeight="1">
      <c r="A49" s="91"/>
      <c r="B49" s="584"/>
      <c r="C49" s="201" t="s">
        <v>1070</v>
      </c>
      <c r="D49" s="614"/>
      <c r="E49" s="614"/>
      <c r="U49" s="613"/>
      <c r="V49" s="613"/>
      <c r="W49" s="613"/>
      <c r="X49" s="613"/>
      <c r="Y49" s="613"/>
      <c r="Z49" s="613"/>
      <c r="AA49" s="600"/>
      <c r="AB49" s="600"/>
      <c r="AC49" s="60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29"/>
      <c r="AY49" s="1029"/>
      <c r="AZ49" s="1029"/>
      <c r="BA49" s="611"/>
      <c r="BB49" s="575"/>
      <c r="BC49" s="91"/>
    </row>
    <row r="50" spans="1:55" s="46" customFormat="1" ht="12.9" customHeight="1">
      <c r="A50" s="91"/>
      <c r="B50" s="584"/>
      <c r="C50" s="1014" t="s">
        <v>1322</v>
      </c>
      <c r="D50" s="614"/>
      <c r="E50" s="614"/>
      <c r="F50" s="614"/>
      <c r="G50" s="614"/>
      <c r="H50" s="614"/>
      <c r="I50" s="614"/>
      <c r="J50" s="614"/>
      <c r="K50" s="614"/>
      <c r="L50" s="614"/>
      <c r="M50" s="614"/>
      <c r="N50" s="614"/>
      <c r="O50" s="614"/>
      <c r="P50" s="614"/>
      <c r="Q50" s="614"/>
      <c r="R50" s="614"/>
      <c r="S50" s="614"/>
      <c r="T50" s="614"/>
      <c r="U50" s="612"/>
      <c r="V50" s="613"/>
      <c r="W50" s="613"/>
      <c r="X50" s="613"/>
      <c r="Y50" s="613"/>
      <c r="Z50" s="613"/>
      <c r="AA50" s="600"/>
      <c r="AB50" s="600"/>
      <c r="AC50" s="60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29"/>
      <c r="AY50" s="1029"/>
      <c r="AZ50" s="1029"/>
      <c r="BA50" s="611"/>
      <c r="BB50" s="575"/>
      <c r="BC50" s="91"/>
    </row>
    <row r="51" spans="1:55" s="46" customFormat="1" ht="12.9" customHeight="1">
      <c r="A51" s="91"/>
      <c r="B51" s="584"/>
      <c r="C51" s="615" t="s">
        <v>1087</v>
      </c>
      <c r="D51" s="615"/>
      <c r="E51" s="615"/>
      <c r="F51" s="614"/>
      <c r="G51" s="614"/>
      <c r="H51" s="614"/>
      <c r="I51" s="614"/>
      <c r="J51" s="614"/>
      <c r="K51" s="614"/>
      <c r="L51" s="614"/>
      <c r="M51" s="614"/>
      <c r="N51" s="614"/>
      <c r="O51" s="614"/>
      <c r="P51" s="614"/>
      <c r="Q51" s="614"/>
      <c r="R51" s="614"/>
      <c r="S51" s="614"/>
      <c r="T51" s="614"/>
      <c r="U51" s="158"/>
      <c r="V51" s="158"/>
      <c r="W51" s="158"/>
      <c r="X51" s="158"/>
      <c r="Y51" s="158"/>
      <c r="Z51" s="158"/>
      <c r="AA51" s="158"/>
      <c r="AB51" s="158"/>
      <c r="AC51" s="158"/>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29"/>
      <c r="AY51" s="1029"/>
      <c r="AZ51" s="1029"/>
      <c r="BA51" s="611"/>
      <c r="BB51" s="575"/>
      <c r="BC51" s="91"/>
    </row>
    <row r="52" spans="1:55" s="46" customFormat="1" ht="12.9" customHeight="1">
      <c r="A52" s="91"/>
      <c r="B52" s="584"/>
      <c r="C52" s="773" t="s">
        <v>1071</v>
      </c>
      <c r="D52" s="615"/>
      <c r="E52" s="615"/>
      <c r="F52" s="614"/>
      <c r="G52" s="614"/>
      <c r="H52" s="614"/>
      <c r="I52" s="614"/>
      <c r="J52" s="614"/>
      <c r="K52" s="614"/>
      <c r="L52" s="614"/>
      <c r="M52" s="614"/>
      <c r="N52" s="614"/>
      <c r="O52" s="614"/>
      <c r="P52" s="614"/>
      <c r="Q52" s="614"/>
      <c r="R52" s="614"/>
      <c r="S52" s="614"/>
      <c r="T52" s="614"/>
      <c r="U52" s="158"/>
      <c r="V52" s="158"/>
      <c r="W52" s="158"/>
      <c r="X52" s="158"/>
      <c r="Y52" s="158"/>
      <c r="Z52" s="158"/>
      <c r="AA52" s="158"/>
      <c r="AB52" s="158"/>
      <c r="AC52" s="158"/>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29"/>
      <c r="AY52" s="1029"/>
      <c r="AZ52" s="1029"/>
      <c r="BA52" s="158"/>
      <c r="BB52" s="575"/>
      <c r="BC52" s="91"/>
    </row>
    <row r="53" spans="1:55" s="46" customFormat="1" ht="12.9" customHeight="1">
      <c r="A53" s="91"/>
      <c r="B53" s="584"/>
      <c r="C53" s="773" t="s">
        <v>1239</v>
      </c>
      <c r="D53" s="615"/>
      <c r="E53" s="615"/>
      <c r="F53" s="615"/>
      <c r="G53" s="615"/>
      <c r="H53" s="615"/>
      <c r="I53" s="615"/>
      <c r="J53" s="615"/>
      <c r="K53" s="615"/>
      <c r="L53" s="615"/>
      <c r="M53" s="615"/>
      <c r="N53" s="615"/>
      <c r="O53" s="615"/>
      <c r="P53" s="615"/>
      <c r="Q53" s="615"/>
      <c r="R53" s="615"/>
      <c r="S53" s="615"/>
      <c r="T53" s="615"/>
      <c r="U53" s="158"/>
      <c r="V53" s="158"/>
      <c r="W53" s="158"/>
      <c r="X53" s="158"/>
      <c r="Y53" s="158"/>
      <c r="Z53" s="158"/>
      <c r="AA53" s="158"/>
      <c r="AB53" s="158"/>
      <c r="AC53" s="158"/>
      <c r="AD53" s="608"/>
      <c r="AE53" s="608"/>
      <c r="AF53" s="608"/>
      <c r="AG53" s="608"/>
      <c r="AH53" s="608"/>
      <c r="AI53" s="608"/>
      <c r="AJ53" s="608"/>
      <c r="AK53" s="608"/>
      <c r="AL53" s="608"/>
      <c r="AM53" s="608"/>
      <c r="AN53" s="608"/>
      <c r="AO53" s="608"/>
      <c r="AP53" s="608"/>
      <c r="AQ53" s="608"/>
      <c r="AR53" s="608"/>
      <c r="AS53" s="608"/>
      <c r="AT53" s="608"/>
      <c r="AU53" s="608"/>
      <c r="AV53" s="608"/>
      <c r="AW53" s="608"/>
      <c r="AX53" s="636"/>
      <c r="AY53" s="636"/>
      <c r="AZ53" s="636"/>
      <c r="BA53" s="158"/>
      <c r="BB53" s="575"/>
      <c r="BC53" s="91"/>
    </row>
    <row r="54" spans="1:55" s="46" customFormat="1" ht="12.9" customHeight="1">
      <c r="A54" s="91"/>
      <c r="B54" s="584"/>
      <c r="C54" s="774" t="s">
        <v>1073</v>
      </c>
      <c r="D54" s="615"/>
      <c r="E54" s="615"/>
      <c r="F54" s="615"/>
      <c r="G54" s="615"/>
      <c r="H54" s="615"/>
      <c r="I54" s="615"/>
      <c r="J54" s="615"/>
      <c r="K54" s="615"/>
      <c r="L54" s="615"/>
      <c r="M54" s="615"/>
      <c r="N54" s="615"/>
      <c r="O54" s="615"/>
      <c r="P54" s="615"/>
      <c r="Q54" s="615"/>
      <c r="R54" s="615"/>
      <c r="S54" s="615"/>
      <c r="T54" s="615"/>
      <c r="U54" s="158"/>
      <c r="V54" s="158"/>
      <c r="W54" s="158"/>
      <c r="X54" s="158"/>
      <c r="Y54" s="158"/>
      <c r="Z54" s="158"/>
      <c r="AA54" s="158"/>
      <c r="AB54" s="158"/>
      <c r="AC54" s="158"/>
      <c r="AD54" s="608"/>
      <c r="AE54" s="608"/>
      <c r="AF54" s="608"/>
      <c r="AG54" s="608"/>
      <c r="AH54" s="608"/>
      <c r="AI54" s="608"/>
      <c r="AJ54" s="608"/>
      <c r="AK54" s="608"/>
      <c r="AL54" s="608"/>
      <c r="AM54" s="608"/>
      <c r="AN54" s="608"/>
      <c r="AO54" s="608"/>
      <c r="AP54" s="608"/>
      <c r="AQ54" s="608"/>
      <c r="AR54" s="608"/>
      <c r="AS54" s="608"/>
      <c r="AT54" s="608"/>
      <c r="AU54" s="608"/>
      <c r="AV54" s="608"/>
      <c r="AW54" s="608"/>
      <c r="AX54" s="636"/>
      <c r="AY54" s="636"/>
      <c r="AZ54" s="636"/>
      <c r="BA54" s="158"/>
      <c r="BB54" s="575"/>
      <c r="BC54" s="91"/>
    </row>
    <row r="55" spans="1:55" s="46" customFormat="1" ht="12.9" customHeight="1">
      <c r="A55" s="91"/>
      <c r="B55" s="584"/>
      <c r="C55" s="773" t="s">
        <v>1072</v>
      </c>
      <c r="D55" s="615"/>
      <c r="F55" s="615"/>
      <c r="G55" s="615"/>
      <c r="H55" s="615"/>
      <c r="I55" s="615"/>
      <c r="J55" s="615"/>
      <c r="K55" s="615"/>
      <c r="L55" s="615"/>
      <c r="M55" s="615"/>
      <c r="N55" s="615"/>
      <c r="O55" s="615"/>
      <c r="P55" s="615"/>
      <c r="Q55" s="615"/>
      <c r="R55" s="615"/>
      <c r="S55" s="615"/>
      <c r="T55" s="615"/>
      <c r="U55" s="158"/>
      <c r="V55" s="158"/>
      <c r="W55" s="158"/>
      <c r="X55" s="158"/>
      <c r="Y55" s="158"/>
      <c r="Z55" s="158"/>
      <c r="AA55" s="158"/>
      <c r="AB55" s="158"/>
      <c r="AC55" s="158"/>
      <c r="AD55" s="608"/>
      <c r="AE55" s="608"/>
      <c r="AF55" s="608"/>
      <c r="AG55" s="608"/>
      <c r="AH55" s="608"/>
      <c r="AI55" s="608"/>
      <c r="AJ55" s="608"/>
      <c r="AK55" s="608"/>
      <c r="AL55" s="608"/>
      <c r="AM55" s="608"/>
      <c r="AN55" s="608"/>
      <c r="AO55" s="608"/>
      <c r="AP55" s="608"/>
      <c r="AQ55" s="608"/>
      <c r="AR55" s="608"/>
      <c r="AS55" s="608"/>
      <c r="AT55" s="608"/>
      <c r="AU55" s="608"/>
      <c r="AV55" s="608"/>
      <c r="AW55" s="608"/>
      <c r="AX55" s="636"/>
      <c r="AY55" s="636"/>
      <c r="AZ55" s="636"/>
      <c r="BA55" s="158"/>
      <c r="BB55" s="575"/>
      <c r="BC55" s="91"/>
    </row>
    <row r="56" spans="1:55" s="46" customFormat="1" ht="12.9" customHeight="1">
      <c r="A56" s="91"/>
      <c r="B56" s="584"/>
      <c r="C56" s="773" t="s">
        <v>1197</v>
      </c>
      <c r="F56" s="615"/>
      <c r="G56" s="615"/>
      <c r="H56" s="615"/>
      <c r="I56" s="615"/>
      <c r="J56" s="615"/>
      <c r="K56" s="615"/>
      <c r="L56" s="615"/>
      <c r="M56" s="615"/>
      <c r="N56" s="615"/>
      <c r="O56" s="615"/>
      <c r="P56" s="615"/>
      <c r="Q56" s="615"/>
      <c r="R56" s="615"/>
      <c r="S56" s="615"/>
      <c r="T56" s="615"/>
      <c r="U56" s="158"/>
      <c r="V56" s="158"/>
      <c r="W56" s="158"/>
      <c r="X56" s="158"/>
      <c r="Y56" s="158"/>
      <c r="Z56" s="158"/>
      <c r="AA56" s="158"/>
      <c r="AB56" s="158"/>
      <c r="AC56" s="158"/>
      <c r="AD56" s="608"/>
      <c r="AE56" s="608"/>
      <c r="AF56" s="608"/>
      <c r="AG56" s="608"/>
      <c r="AH56" s="608"/>
      <c r="AI56" s="608"/>
      <c r="AJ56" s="608"/>
      <c r="AK56" s="608"/>
      <c r="AL56" s="608"/>
      <c r="AM56" s="608"/>
      <c r="AN56" s="608"/>
      <c r="AO56" s="608"/>
      <c r="AP56" s="608"/>
      <c r="AQ56" s="608"/>
      <c r="AR56" s="608"/>
      <c r="AS56" s="608"/>
      <c r="AT56" s="608"/>
      <c r="AU56" s="608"/>
      <c r="AV56" s="608"/>
      <c r="AW56" s="608"/>
      <c r="AX56" s="636"/>
      <c r="AY56" s="636"/>
      <c r="AZ56" s="636"/>
      <c r="BA56" s="158"/>
      <c r="BB56" s="575"/>
      <c r="BC56" s="91"/>
    </row>
    <row r="57" spans="1:55" s="46" customFormat="1" ht="12.9" customHeight="1">
      <c r="A57" s="91"/>
      <c r="B57" s="584"/>
      <c r="C57" s="773" t="s">
        <v>1321</v>
      </c>
      <c r="D57" s="615"/>
      <c r="E57" s="615"/>
      <c r="F57" s="615"/>
      <c r="G57" s="615"/>
      <c r="H57" s="615"/>
      <c r="I57" s="615"/>
      <c r="J57" s="615"/>
      <c r="K57" s="615"/>
      <c r="L57" s="615"/>
      <c r="M57" s="615"/>
      <c r="N57" s="615"/>
      <c r="O57" s="615"/>
      <c r="P57" s="615"/>
      <c r="Q57" s="615"/>
      <c r="R57" s="615"/>
      <c r="S57" s="615"/>
      <c r="T57" s="615"/>
      <c r="U57" s="158"/>
      <c r="V57" s="158"/>
      <c r="W57" s="158"/>
      <c r="X57" s="158"/>
      <c r="Y57" s="158"/>
      <c r="Z57" s="158"/>
      <c r="AA57" s="158"/>
      <c r="AB57" s="158"/>
      <c r="AC57" s="158"/>
      <c r="AD57" s="608"/>
      <c r="AE57" s="608"/>
      <c r="AF57" s="608"/>
      <c r="AG57" s="608"/>
      <c r="AH57" s="608"/>
      <c r="AI57" s="608"/>
      <c r="AJ57" s="608"/>
      <c r="AK57" s="608"/>
      <c r="AL57" s="608"/>
      <c r="AM57" s="608"/>
      <c r="AN57" s="608"/>
      <c r="AO57" s="608"/>
      <c r="AP57" s="608"/>
      <c r="AQ57" s="608"/>
      <c r="AR57" s="608"/>
      <c r="AS57" s="608"/>
      <c r="AT57" s="608"/>
      <c r="AU57" s="608"/>
      <c r="AV57" s="608"/>
      <c r="AW57" s="608"/>
      <c r="AX57" s="636"/>
      <c r="AY57" s="636"/>
      <c r="AZ57" s="636"/>
      <c r="BA57" s="158"/>
      <c r="BB57" s="575"/>
      <c r="BC57" s="91"/>
    </row>
    <row r="58" spans="1:55" s="46" customFormat="1" ht="12.9" customHeight="1" thickBot="1">
      <c r="A58" s="91"/>
      <c r="B58" s="585"/>
      <c r="C58" s="586"/>
      <c r="D58" s="586"/>
      <c r="E58" s="586"/>
      <c r="F58" s="586"/>
      <c r="G58" s="586"/>
      <c r="H58" s="586"/>
      <c r="I58" s="586"/>
      <c r="J58" s="586"/>
      <c r="K58" s="586"/>
      <c r="L58" s="586"/>
      <c r="M58" s="586"/>
      <c r="N58" s="586"/>
      <c r="O58" s="586"/>
      <c r="P58" s="586"/>
      <c r="Q58" s="586"/>
      <c r="R58" s="586"/>
      <c r="S58" s="586"/>
      <c r="T58" s="586"/>
      <c r="U58" s="637"/>
      <c r="V58" s="587"/>
      <c r="W58" s="586"/>
      <c r="X58" s="586"/>
      <c r="Y58" s="586"/>
      <c r="Z58" s="586"/>
      <c r="AA58" s="586"/>
      <c r="AB58" s="586"/>
      <c r="AC58" s="637"/>
      <c r="AD58" s="587"/>
      <c r="AE58" s="637"/>
      <c r="AF58" s="587"/>
      <c r="AG58" s="637" t="s">
        <v>993</v>
      </c>
      <c r="AH58" s="587" t="s">
        <v>80</v>
      </c>
      <c r="AI58" s="586"/>
      <c r="AJ58" s="586"/>
      <c r="AK58" s="586"/>
      <c r="AL58" s="586"/>
      <c r="AM58" s="586"/>
      <c r="AN58" s="586"/>
      <c r="AO58" s="586"/>
      <c r="AP58" s="586"/>
      <c r="AQ58" s="586"/>
      <c r="AR58" s="586"/>
      <c r="AS58" s="586"/>
      <c r="AT58" s="586"/>
      <c r="AU58" s="586"/>
      <c r="AV58" s="586"/>
      <c r="AW58" s="586"/>
      <c r="AX58" s="586"/>
      <c r="AY58" s="586"/>
      <c r="AZ58" s="586"/>
      <c r="BA58" s="586"/>
      <c r="BB58" s="588"/>
      <c r="BC58" s="91"/>
    </row>
    <row r="59" spans="1:55" ht="13.8" thickTop="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row>
    <row r="61" spans="1:55" hidden="1">
      <c r="V61" s="242" t="s">
        <v>995</v>
      </c>
      <c r="AD61" s="242" t="s">
        <v>995</v>
      </c>
      <c r="AI61" s="46" t="s">
        <v>228</v>
      </c>
    </row>
    <row r="62" spans="1:55" hidden="1">
      <c r="V62" s="242" t="s">
        <v>996</v>
      </c>
      <c r="AD62" s="242" t="s">
        <v>998</v>
      </c>
      <c r="AI62" s="46" t="s">
        <v>164</v>
      </c>
    </row>
    <row r="63" spans="1:55" hidden="1">
      <c r="V63" s="242" t="s">
        <v>997</v>
      </c>
      <c r="AD63" s="242" t="s">
        <v>999</v>
      </c>
      <c r="AI63" s="46" t="s">
        <v>163</v>
      </c>
    </row>
    <row r="64" spans="1:55" hidden="1">
      <c r="V64" s="242" t="s">
        <v>1001</v>
      </c>
      <c r="AD64" s="242" t="s">
        <v>1000</v>
      </c>
      <c r="AI64" s="47" t="s">
        <v>214</v>
      </c>
    </row>
    <row r="65" spans="22:35" hidden="1">
      <c r="V65" s="242" t="s">
        <v>1003</v>
      </c>
      <c r="AD65" s="242" t="s">
        <v>1003</v>
      </c>
      <c r="AI65" s="47" t="s">
        <v>254</v>
      </c>
    </row>
    <row r="66" spans="22:35" hidden="1">
      <c r="AI66" s="46" t="s">
        <v>166</v>
      </c>
    </row>
    <row r="67" spans="22:35" hidden="1">
      <c r="AI67" s="46" t="s">
        <v>165</v>
      </c>
    </row>
    <row r="68" spans="22:35" hidden="1">
      <c r="AI68" s="47" t="s">
        <v>215</v>
      </c>
    </row>
    <row r="69" spans="22:35" hidden="1">
      <c r="AI69" s="46" t="s">
        <v>167</v>
      </c>
    </row>
    <row r="70" spans="22:35" hidden="1">
      <c r="AI70" s="46" t="s">
        <v>168</v>
      </c>
    </row>
    <row r="71" spans="22:35" hidden="1">
      <c r="AI71" s="47" t="s">
        <v>255</v>
      </c>
    </row>
    <row r="72" spans="22:35" hidden="1">
      <c r="AI72" s="46" t="s">
        <v>169</v>
      </c>
    </row>
    <row r="73" spans="22:35" hidden="1">
      <c r="AI73" s="46" t="s">
        <v>171</v>
      </c>
    </row>
    <row r="74" spans="22:35" hidden="1">
      <c r="AI74" s="46" t="s">
        <v>170</v>
      </c>
    </row>
    <row r="75" spans="22:35" hidden="1">
      <c r="AI75" s="46" t="s">
        <v>172</v>
      </c>
    </row>
    <row r="76" spans="22:35" hidden="1">
      <c r="AI76" s="46" t="s">
        <v>173</v>
      </c>
    </row>
    <row r="77" spans="22:35" hidden="1">
      <c r="AI77" s="47" t="s">
        <v>253</v>
      </c>
    </row>
    <row r="78" spans="22:35" hidden="1">
      <c r="AI78" s="46" t="s">
        <v>174</v>
      </c>
    </row>
    <row r="79" spans="22:35" hidden="1">
      <c r="AI79" s="46" t="s">
        <v>176</v>
      </c>
    </row>
    <row r="80" spans="22:35" hidden="1">
      <c r="AI80" s="46" t="s">
        <v>177</v>
      </c>
    </row>
    <row r="81" spans="35:35" hidden="1">
      <c r="AI81" s="46" t="s">
        <v>178</v>
      </c>
    </row>
    <row r="82" spans="35:35" hidden="1">
      <c r="AI82" s="47" t="s">
        <v>232</v>
      </c>
    </row>
    <row r="83" spans="35:35" hidden="1">
      <c r="AI83" s="46" t="s">
        <v>175</v>
      </c>
    </row>
    <row r="84" spans="35:35" hidden="1">
      <c r="AI84" s="46" t="s">
        <v>179</v>
      </c>
    </row>
    <row r="85" spans="35:35" hidden="1">
      <c r="AI85" s="46" t="s">
        <v>180</v>
      </c>
    </row>
    <row r="86" spans="35:35" hidden="1">
      <c r="AI86" s="47" t="s">
        <v>216</v>
      </c>
    </row>
    <row r="87" spans="35:35" hidden="1">
      <c r="AI87" s="46" t="s">
        <v>181</v>
      </c>
    </row>
    <row r="88" spans="35:35" hidden="1">
      <c r="AI88" s="46" t="s">
        <v>184</v>
      </c>
    </row>
    <row r="89" spans="35:35" hidden="1">
      <c r="AI89" s="47" t="s">
        <v>217</v>
      </c>
    </row>
    <row r="90" spans="35:35" hidden="1">
      <c r="AI90" s="46" t="s">
        <v>183</v>
      </c>
    </row>
    <row r="91" spans="35:35" hidden="1">
      <c r="AI91" s="46" t="s">
        <v>182</v>
      </c>
    </row>
    <row r="92" spans="35:35" hidden="1">
      <c r="AI92" s="46" t="s">
        <v>185</v>
      </c>
    </row>
    <row r="93" spans="35:35" hidden="1">
      <c r="AI93" s="46" t="s">
        <v>186</v>
      </c>
    </row>
    <row r="94" spans="35:35" hidden="1">
      <c r="AI94" s="46" t="s">
        <v>188</v>
      </c>
    </row>
    <row r="95" spans="35:35" hidden="1">
      <c r="AI95" s="46" t="s">
        <v>187</v>
      </c>
    </row>
    <row r="96" spans="35:35" hidden="1">
      <c r="AI96" s="46" t="s">
        <v>189</v>
      </c>
    </row>
    <row r="97" spans="35:35" hidden="1">
      <c r="AI97" s="46" t="s">
        <v>192</v>
      </c>
    </row>
    <row r="98" spans="35:35" hidden="1">
      <c r="AI98" s="46" t="s">
        <v>196</v>
      </c>
    </row>
    <row r="99" spans="35:35" hidden="1">
      <c r="AI99" s="47" t="s">
        <v>218</v>
      </c>
    </row>
    <row r="100" spans="35:35" hidden="1">
      <c r="AI100" s="46" t="s">
        <v>193</v>
      </c>
    </row>
    <row r="101" spans="35:35" hidden="1">
      <c r="AI101" s="46" t="s">
        <v>194</v>
      </c>
    </row>
    <row r="102" spans="35:35" hidden="1">
      <c r="AI102" s="46" t="s">
        <v>195</v>
      </c>
    </row>
    <row r="103" spans="35:35" hidden="1">
      <c r="AI103" s="46" t="s">
        <v>197</v>
      </c>
    </row>
    <row r="104" spans="35:35" hidden="1">
      <c r="AI104" s="47" t="s">
        <v>219</v>
      </c>
    </row>
    <row r="105" spans="35:35" hidden="1">
      <c r="AI105" s="46" t="s">
        <v>190</v>
      </c>
    </row>
    <row r="106" spans="35:35" hidden="1">
      <c r="AI106" s="46" t="s">
        <v>191</v>
      </c>
    </row>
    <row r="107" spans="35:35" hidden="1">
      <c r="AI107" s="47" t="s">
        <v>222</v>
      </c>
    </row>
    <row r="108" spans="35:35" hidden="1">
      <c r="AI108" s="47" t="s">
        <v>220</v>
      </c>
    </row>
    <row r="109" spans="35:35" hidden="1">
      <c r="AI109" s="47" t="s">
        <v>221</v>
      </c>
    </row>
    <row r="110" spans="35:35" hidden="1">
      <c r="AI110" s="46" t="s">
        <v>198</v>
      </c>
    </row>
    <row r="111" spans="35:35" hidden="1">
      <c r="AI111" s="46" t="s">
        <v>199</v>
      </c>
    </row>
    <row r="112" spans="35:35" hidden="1">
      <c r="AI112" s="47" t="s">
        <v>223</v>
      </c>
    </row>
    <row r="113" spans="35:35" hidden="1">
      <c r="AI113" s="46" t="s">
        <v>200</v>
      </c>
    </row>
    <row r="114" spans="35:35" hidden="1">
      <c r="AI114" s="46" t="s">
        <v>201</v>
      </c>
    </row>
    <row r="115" spans="35:35" hidden="1">
      <c r="AI115" s="47" t="s">
        <v>224</v>
      </c>
    </row>
    <row r="116" spans="35:35" hidden="1">
      <c r="AI116" s="242" t="s">
        <v>760</v>
      </c>
    </row>
    <row r="117" spans="35:35" hidden="1">
      <c r="AI117" s="47" t="s">
        <v>225</v>
      </c>
    </row>
    <row r="118" spans="35:35" hidden="1">
      <c r="AI118" s="46" t="s">
        <v>202</v>
      </c>
    </row>
    <row r="119" spans="35:35" hidden="1">
      <c r="AI119" s="47" t="s">
        <v>226</v>
      </c>
    </row>
    <row r="120" spans="35:35" hidden="1">
      <c r="AI120" s="46" t="s">
        <v>203</v>
      </c>
    </row>
    <row r="121" spans="35:35" hidden="1">
      <c r="AI121" s="46" t="s">
        <v>204</v>
      </c>
    </row>
    <row r="122" spans="35:35" hidden="1">
      <c r="AI122" s="46" t="s">
        <v>205</v>
      </c>
    </row>
    <row r="123" spans="35:35" hidden="1">
      <c r="AI123" s="46" t="s">
        <v>206</v>
      </c>
    </row>
    <row r="124" spans="35:35" hidden="1">
      <c r="AI124" s="158" t="s">
        <v>761</v>
      </c>
    </row>
    <row r="125" spans="35:35" hidden="1">
      <c r="AI125" s="46" t="s">
        <v>207</v>
      </c>
    </row>
    <row r="126" spans="35:35" hidden="1">
      <c r="AI126" s="46" t="s">
        <v>209</v>
      </c>
    </row>
    <row r="127" spans="35:35" hidden="1">
      <c r="AI127" s="46" t="s">
        <v>208</v>
      </c>
    </row>
    <row r="128" spans="35:35" hidden="1">
      <c r="AI128" s="46" t="s">
        <v>210</v>
      </c>
    </row>
    <row r="129" spans="35:35" hidden="1">
      <c r="AI129" s="47" t="s">
        <v>212</v>
      </c>
    </row>
    <row r="130" spans="35:35" hidden="1">
      <c r="AI130" s="46" t="s">
        <v>211</v>
      </c>
    </row>
    <row r="131" spans="35:35" hidden="1">
      <c r="AI131" s="47" t="s">
        <v>213</v>
      </c>
    </row>
    <row r="132" spans="35:35" hidden="1">
      <c r="AI132" s="47" t="s">
        <v>227</v>
      </c>
    </row>
    <row r="133" spans="35:35" hidden="1">
      <c r="AI133" s="242" t="s">
        <v>947</v>
      </c>
    </row>
  </sheetData>
  <sheetProtection algorithmName="SHA-512" hashValue="2nugMx6SBP0Zul0Aa2Orl4cCxDQ9a4bEqkWA08qTS9KvYXRFJOOITKTuSROZBoeW6VXhqJgFiF7+zxXqkBgesA==" saltValue="ou5gLo/XDkDj2Y+3hcwUPA==" spinCount="100000" sheet="1" objects="1" scenarios="1"/>
  <protectedRanges>
    <protectedRange sqref="AX43" name="Range1_4_1_1"/>
  </protectedRanges>
  <sortState xmlns:xlrd2="http://schemas.microsoft.com/office/spreadsheetml/2017/richdata2" ref="AM62:AM132">
    <sortCondition ref="AM62"/>
  </sortState>
  <mergeCells count="79">
    <mergeCell ref="B45:F47"/>
    <mergeCell ref="G45:T47"/>
    <mergeCell ref="G42:T44"/>
    <mergeCell ref="B30:F32"/>
    <mergeCell ref="G30:T32"/>
    <mergeCell ref="B33:F35"/>
    <mergeCell ref="G33:T3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6:F38"/>
    <mergeCell ref="B2:BB2"/>
    <mergeCell ref="U7:AM8"/>
    <mergeCell ref="AB10:AL10"/>
    <mergeCell ref="AB11:AL11"/>
    <mergeCell ref="C7:T8"/>
    <mergeCell ref="G9:T11"/>
    <mergeCell ref="AO7:AV8"/>
    <mergeCell ref="AW7:BB8"/>
    <mergeCell ref="AB9:AL9"/>
    <mergeCell ref="B3:BB6"/>
    <mergeCell ref="B9:F11"/>
    <mergeCell ref="B24:F26"/>
    <mergeCell ref="B12:F14"/>
    <mergeCell ref="AH42:AW44"/>
    <mergeCell ref="AX43:AZ43"/>
    <mergeCell ref="B18:F20"/>
    <mergeCell ref="B21:F23"/>
    <mergeCell ref="G24:T26"/>
    <mergeCell ref="G27:T29"/>
    <mergeCell ref="G36:T38"/>
    <mergeCell ref="G39:T41"/>
    <mergeCell ref="B39:F41"/>
    <mergeCell ref="V36:AF36"/>
    <mergeCell ref="V37:AF37"/>
    <mergeCell ref="AB23:AF23"/>
    <mergeCell ref="AG23:AL23"/>
    <mergeCell ref="AB24:AF24"/>
    <mergeCell ref="AG24:AL24"/>
    <mergeCell ref="B42:F44"/>
    <mergeCell ref="AX48:AZ52"/>
    <mergeCell ref="AO39:AW40"/>
    <mergeCell ref="V42:AF42"/>
    <mergeCell ref="V43:AF43"/>
    <mergeCell ref="X44:AD44"/>
    <mergeCell ref="W39:Y39"/>
    <mergeCell ref="Z39:AB39"/>
    <mergeCell ref="AX46:AZ46"/>
    <mergeCell ref="AI45:AW47"/>
    <mergeCell ref="AD48:AW52"/>
    <mergeCell ref="W45:Y45"/>
    <mergeCell ref="Z46:AB46"/>
    <mergeCell ref="AC46:AE46"/>
    <mergeCell ref="Z40:AB40"/>
    <mergeCell ref="AC40:AE40"/>
    <mergeCell ref="Z45:AB45"/>
    <mergeCell ref="X38:AD38"/>
    <mergeCell ref="AB34:AE34"/>
    <mergeCell ref="AB25:AL25"/>
    <mergeCell ref="AB26:AL26"/>
    <mergeCell ref="AH36:BA37"/>
    <mergeCell ref="AI28:AL28"/>
    <mergeCell ref="AB27:AL27"/>
    <mergeCell ref="AS34:AZ34"/>
  </mergeCells>
  <phoneticPr fontId="0" type="noConversion"/>
  <conditionalFormatting sqref="AA15">
    <cfRule type="expression" dxfId="194" priority="4">
      <formula>$AB$14="Other (enter custom value below)"</formula>
    </cfRule>
  </conditionalFormatting>
  <conditionalFormatting sqref="AA20:AA21">
    <cfRule type="expression" dxfId="193" priority="6" stopIfTrue="1">
      <formula>#REF!="Calendar Year"</formula>
    </cfRule>
  </conditionalFormatting>
  <conditionalFormatting sqref="AB15">
    <cfRule type="expression" dxfId="192" priority="236">
      <formula>$AB$14="Other (enter custom value below)"</formula>
    </cfRule>
  </conditionalFormatting>
  <conditionalFormatting sqref="AB17">
    <cfRule type="expression" dxfId="191" priority="1" stopIfTrue="1">
      <formula>#REF!="Calendar Year"</formula>
    </cfRule>
  </conditionalFormatting>
  <conditionalFormatting sqref="AB20:AB21">
    <cfRule type="expression" dxfId="190" priority="235" stopIfTrue="1">
      <formula>#REF!="Calendar Year"</formula>
    </cfRule>
  </conditionalFormatting>
  <conditionalFormatting sqref="AG23:AL23">
    <cfRule type="expression" dxfId="189" priority="3">
      <formula>$AB$23="Other  ---------------&gt;"</formula>
    </cfRule>
  </conditionalFormatting>
  <conditionalFormatting sqref="AG24:AL24">
    <cfRule type="expression" dxfId="188"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$AI$61:$AI$133</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$V$61:$V$65</formula1>
    </dataValidation>
    <dataValidation type="list" allowBlank="1" showErrorMessage="1" sqref="AB24:AF24" xr:uid="{C1936345-741D-413B-A1C8-193DA33A9BA0}">
      <formula1>$AD$61:$AD$65</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AB34" location="Worksheet!A1" tooltip="Go to Worksheet" display="Worksheet" xr:uid="{504DA2FE-51A1-4571-AD26-CE2A0CCBE20D}"/>
    <hyperlink ref="AS34" location="'Interactive Data Grading'!A1" display="Interactive Data Grading" xr:uid="{1AE4FBAD-1503-4B3D-90C0-6E9088CDD84D}"/>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6:F38" location="'Loss Control Planning'!A1" display="Loss Control Planning" xr:uid="{220EE6EA-0D45-47DE-98A4-343CB8E8BA0A}"/>
    <hyperlink ref="B39:F41" location="Definitions!A1" display="Definitions" xr:uid="{8CA8BBF9-BB46-4FC9-A1AB-5423C919D663}"/>
    <hyperlink ref="AS34:AZ34" location="'Interactive Data Grading'!A1" tooltip="Go to IDG" display="Interactive Data Grading" xr:uid="{6019E02A-DC51-4CAF-BD2C-346C7FFF5D6B}"/>
    <hyperlink ref="B30:F32" location="'Carbon Calculations'!A1" display="Carbon Calculations" xr:uid="{DA24FC42-9071-4CA3-A4DB-36FCDCF555EF}"/>
    <hyperlink ref="B33:F35" location="'Carbon Balance'!A1" display="Carbon Balance" xr:uid="{D5410947-6308-462C-88D4-7075ECFDB92C}"/>
    <hyperlink ref="AH58" r:id="rId1" xr:uid="{3798A616-E89D-42A5-9030-4EB65F9790E4}"/>
  </hyperlinks>
  <printOptions horizontalCentered="1" verticalCentered="1"/>
  <pageMargins left="0.41" right="0.47" top="0.76" bottom="0.75" header="0.5" footer="0.5"/>
  <pageSetup scale="71" orientation="landscape" r:id="rId2"/>
  <headerFooter alignWithMargins="0">
    <oddFooter>&amp;CAWWA Free Water Audit Software v6.0&amp;R&amp;A   &amp;P</oddFooter>
  </headerFooter>
  <ignoredErrors>
    <ignoredError sqref="AC40 AC46"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C5D9F1"/>
    <pageSetUpPr fitToPage="1"/>
  </sheetPr>
  <dimension ref="A1:AN202"/>
  <sheetViews>
    <sheetView showGridLines="0" showRowColHeaders="0" zoomScale="110" zoomScaleNormal="110" workbookViewId="0">
      <selection activeCell="H15" sqref="H15"/>
    </sheetView>
  </sheetViews>
  <sheetFormatPr defaultColWidth="1.109375" defaultRowHeight="13.2" zeroHeight="1"/>
  <cols>
    <col min="1" max="1" width="1.109375" style="46" customWidth="1"/>
    <col min="2" max="2" width="8.33203125" style="558" customWidth="1"/>
    <col min="3" max="3" width="46.109375" style="46" customWidth="1"/>
    <col min="4" max="4" width="3.109375" style="46" customWidth="1"/>
    <col min="5" max="5" width="3.109375" style="509"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51"/>
      <c r="C1" s="91"/>
      <c r="D1" s="91"/>
      <c r="E1" s="502"/>
      <c r="F1" s="98"/>
      <c r="G1" s="91"/>
      <c r="H1" s="91"/>
      <c r="I1" s="91"/>
      <c r="J1" s="91"/>
      <c r="K1" s="91"/>
      <c r="L1" s="91"/>
      <c r="M1" s="91"/>
      <c r="N1" s="91"/>
      <c r="O1" s="91"/>
      <c r="P1" s="91"/>
      <c r="Q1" s="91"/>
      <c r="R1" s="91"/>
      <c r="S1" s="91"/>
      <c r="T1" s="91"/>
      <c r="U1" s="209"/>
      <c r="V1" s="91"/>
      <c r="AB1" s="525"/>
      <c r="AC1" s="525"/>
      <c r="AD1" s="525"/>
      <c r="AE1" s="525"/>
    </row>
    <row r="2" spans="1:33" ht="42" customHeight="1" thickTop="1">
      <c r="A2" s="91"/>
      <c r="B2" s="1125" t="s">
        <v>1180</v>
      </c>
      <c r="C2" s="1126"/>
      <c r="D2" s="1126"/>
      <c r="E2" s="1126"/>
      <c r="F2" s="1126"/>
      <c r="G2" s="1126"/>
      <c r="H2" s="1126"/>
      <c r="I2" s="1126"/>
      <c r="J2" s="1126"/>
      <c r="K2" s="1126"/>
      <c r="L2" s="1126"/>
      <c r="M2" s="1126"/>
      <c r="N2" s="1126"/>
      <c r="O2" s="1126"/>
      <c r="P2" s="1126"/>
      <c r="Q2" s="1126"/>
      <c r="R2" s="1126"/>
      <c r="S2" s="1126"/>
      <c r="T2" s="1126"/>
      <c r="U2" s="1127"/>
      <c r="V2" s="91"/>
    </row>
    <row r="3" spans="1:33" ht="8.25" customHeight="1">
      <c r="A3" s="91"/>
      <c r="B3" s="552"/>
      <c r="C3" s="254"/>
      <c r="D3" s="53"/>
      <c r="E3" s="503"/>
      <c r="F3" s="255"/>
      <c r="G3" s="53"/>
      <c r="U3" s="256"/>
      <c r="V3" s="91"/>
    </row>
    <row r="4" spans="1:33">
      <c r="A4" s="91"/>
      <c r="B4" s="552"/>
      <c r="C4" s="257" t="s">
        <v>62</v>
      </c>
      <c r="D4" s="1129" t="str">
        <f>IF(ISBLANK('Start Page'!AB9),"&lt;&lt; Please enter system details on the Start Page &gt;&gt;",'Start Page'!AB9&amp;IF(ISBLANK('Start Page'!AM28),"","  ("&amp;'Start Page'!AM28&amp;")"))</f>
        <v>&lt;&lt; Please enter system details on the Start Page &gt;&gt;</v>
      </c>
      <c r="E4" s="1130"/>
      <c r="F4" s="1130"/>
      <c r="G4" s="1130"/>
      <c r="H4" s="1131"/>
      <c r="I4" s="1131"/>
      <c r="J4" s="1131"/>
      <c r="K4" s="1131"/>
      <c r="L4" s="1131"/>
      <c r="M4" s="1131"/>
      <c r="N4" s="1131"/>
      <c r="O4" s="1131"/>
      <c r="P4" s="1132"/>
      <c r="U4" s="256"/>
      <c r="V4" s="91"/>
    </row>
    <row r="5" spans="1:33">
      <c r="A5" s="91"/>
      <c r="B5" s="552"/>
      <c r="C5" s="257" t="s">
        <v>708</v>
      </c>
      <c r="D5" s="1142" t="str">
        <f>IF(ISBLANK('Start Page'!AB18),"",'Start Page'!AB18)</f>
        <v/>
      </c>
      <c r="E5" s="1143"/>
      <c r="F5" s="1143"/>
      <c r="G5" s="1144"/>
      <c r="H5" s="1136" t="str">
        <f>IF(ISBLANK('Start Page'!AB20),"",TEXT('Start Page'!AB20,"mmm dd yyyy")&amp;" - "&amp;TEXT('Start Page'!AB21,"mmm dd yyyy"))</f>
        <v/>
      </c>
      <c r="I5" s="1137"/>
      <c r="J5" s="1138"/>
      <c r="K5" s="1140" t="str">
        <f>IF(ISBLANK('Start Page'!AB19),"",'Start Page'!AB19)</f>
        <v/>
      </c>
      <c r="L5" s="1137"/>
      <c r="M5" s="1137"/>
      <c r="N5" s="1137"/>
      <c r="O5" s="1137"/>
      <c r="P5" s="1141"/>
      <c r="S5" s="158"/>
      <c r="U5" s="256"/>
      <c r="V5" s="91"/>
    </row>
    <row r="6" spans="1:33" ht="3.75" customHeight="1">
      <c r="A6" s="91"/>
      <c r="B6" s="552"/>
      <c r="C6" s="258"/>
      <c r="D6" s="53"/>
      <c r="E6" s="503"/>
      <c r="F6" s="255"/>
      <c r="G6" s="53"/>
      <c r="U6" s="256"/>
      <c r="V6" s="91"/>
    </row>
    <row r="7" spans="1:33" ht="5.25" customHeight="1">
      <c r="A7" s="91"/>
      <c r="B7" s="552"/>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97" t="s">
        <v>1196</v>
      </c>
      <c r="R8" s="1098"/>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PLEASE CHOOSE REPORTING UNITS FROM THE START PAGE BEFORE ENTERING DATA</v>
      </c>
      <c r="I9" s="53"/>
      <c r="J9" s="53"/>
      <c r="K9" s="53"/>
      <c r="L9" s="53"/>
      <c r="M9" s="53"/>
      <c r="N9" s="53"/>
      <c r="O9" s="53"/>
      <c r="P9" s="53"/>
      <c r="Q9" s="53"/>
      <c r="R9" s="53"/>
      <c r="S9" s="53"/>
      <c r="T9" s="53"/>
      <c r="U9" s="1135"/>
      <c r="V9" s="91"/>
    </row>
    <row r="10" spans="1:33" ht="3" hidden="1" customHeight="1">
      <c r="A10" s="91"/>
      <c r="B10" s="260"/>
      <c r="D10" s="53"/>
      <c r="E10" s="503"/>
      <c r="F10" s="255"/>
      <c r="G10" s="53"/>
      <c r="S10" s="481"/>
      <c r="T10" s="481"/>
      <c r="U10" s="1135"/>
      <c r="V10" s="91"/>
    </row>
    <row r="11" spans="1:33" ht="3" hidden="1" customHeight="1">
      <c r="A11" s="91"/>
      <c r="B11" s="260"/>
      <c r="D11" s="53"/>
      <c r="E11" s="503"/>
      <c r="F11" s="255"/>
      <c r="G11" s="53"/>
      <c r="S11" s="481"/>
      <c r="T11" s="481"/>
      <c r="U11" s="1135"/>
      <c r="V11" s="91"/>
    </row>
    <row r="12" spans="1:33" ht="15.6" customHeight="1" thickBot="1">
      <c r="A12" s="91"/>
      <c r="B12" s="260"/>
      <c r="C12" s="99"/>
      <c r="D12" s="99"/>
      <c r="E12" s="504"/>
      <c r="F12" s="99"/>
      <c r="G12" s="99"/>
      <c r="H12" s="99"/>
      <c r="I12" s="99"/>
      <c r="J12" s="259"/>
      <c r="K12" s="1139" t="s">
        <v>706</v>
      </c>
      <c r="L12" s="1139"/>
      <c r="M12" s="1139"/>
      <c r="N12" s="1139"/>
      <c r="O12" s="1139"/>
      <c r="P12" s="1139"/>
      <c r="Q12" s="1139"/>
      <c r="R12" s="1139"/>
      <c r="S12" s="1139"/>
      <c r="T12" s="1139"/>
      <c r="U12" s="1135"/>
      <c r="V12" s="91"/>
      <c r="Y12" s="84" t="s">
        <v>132</v>
      </c>
      <c r="AB12" s="266" t="s">
        <v>894</v>
      </c>
      <c r="AC12" s="240" t="s">
        <v>890</v>
      </c>
      <c r="AD12" s="266" t="s">
        <v>891</v>
      </c>
      <c r="AE12" s="266" t="s">
        <v>893</v>
      </c>
    </row>
    <row r="13" spans="1:33">
      <c r="A13" s="91"/>
      <c r="B13" s="260"/>
      <c r="C13" s="53" t="s">
        <v>108</v>
      </c>
      <c r="D13" s="505"/>
      <c r="E13" s="505"/>
      <c r="F13" s="501"/>
      <c r="G13" s="501"/>
      <c r="H13" s="501"/>
      <c r="I13" s="501"/>
      <c r="J13" s="501"/>
      <c r="K13" s="831"/>
      <c r="L13" s="501"/>
      <c r="M13" s="501"/>
      <c r="N13" s="90"/>
      <c r="O13" s="265"/>
      <c r="P13" s="599" t="s">
        <v>1008</v>
      </c>
      <c r="Q13" s="265"/>
      <c r="R13" s="264"/>
      <c r="S13" s="481"/>
      <c r="T13" s="481"/>
      <c r="U13" s="1135"/>
      <c r="V13" s="91"/>
      <c r="W13" s="140" t="s">
        <v>134</v>
      </c>
      <c r="X13" s="141"/>
      <c r="Y13" s="142" t="s">
        <v>128</v>
      </c>
      <c r="Z13" s="143" t="s">
        <v>127</v>
      </c>
      <c r="AA13" s="158" t="s">
        <v>1186</v>
      </c>
      <c r="AB13" s="266" t="s">
        <v>895</v>
      </c>
      <c r="AC13" s="266" t="s">
        <v>889</v>
      </c>
      <c r="AD13" s="266" t="s">
        <v>892</v>
      </c>
      <c r="AE13" s="266" t="s">
        <v>892</v>
      </c>
      <c r="AG13" s="265" t="s">
        <v>1187</v>
      </c>
    </row>
    <row r="14" spans="1:33" ht="7.95" customHeight="1">
      <c r="A14" s="91"/>
      <c r="B14" s="552"/>
      <c r="C14" s="53"/>
      <c r="D14" s="503"/>
      <c r="E14" s="503"/>
      <c r="F14" s="53"/>
      <c r="G14" s="53"/>
      <c r="H14" s="53"/>
      <c r="I14" s="53"/>
      <c r="J14" s="53"/>
      <c r="K14" s="832"/>
      <c r="L14" s="53"/>
      <c r="M14" s="53"/>
      <c r="N14" s="53"/>
      <c r="O14" s="264"/>
      <c r="P14" s="265"/>
      <c r="Q14" s="264"/>
      <c r="R14" s="264"/>
      <c r="S14" s="264"/>
      <c r="T14" s="264"/>
      <c r="U14" s="549"/>
      <c r="V14" s="91"/>
      <c r="W14" s="144"/>
      <c r="X14" s="145"/>
      <c r="Z14" s="146"/>
      <c r="AA14" s="158"/>
      <c r="AG14" s="158"/>
    </row>
    <row r="15" spans="1:33">
      <c r="A15" s="91"/>
      <c r="B15" s="553" t="s">
        <v>901</v>
      </c>
      <c r="C15" s="1006" t="s">
        <v>474</v>
      </c>
      <c r="D15" s="830" t="s">
        <v>875</v>
      </c>
      <c r="E15" s="568" t="s">
        <v>876</v>
      </c>
      <c r="F15" s="483" t="str">
        <f>'Interactive Data Grading'!D20</f>
        <v/>
      </c>
      <c r="G15" s="94"/>
      <c r="H15" s="524"/>
      <c r="I15" s="269"/>
      <c r="J15" s="270" t="str">
        <f>IF('Start Page'!$AB$22="million gallons (US)","MG/Yr",IF('Start Page'!$AB$22="Megalitres (thousand cubic metres)","ML/Yr",IF('Start Page'!$AB$22="acre-feet","Acre-ft/Yr","")))</f>
        <v/>
      </c>
      <c r="K15" s="833" t="s">
        <v>875</v>
      </c>
      <c r="L15" s="597" t="s">
        <v>876</v>
      </c>
      <c r="M15" s="483" t="str">
        <f>'Interactive Data Grading'!D43</f>
        <v/>
      </c>
      <c r="N15" s="270"/>
      <c r="O15" s="478"/>
      <c r="P15" s="571" t="s">
        <v>781</v>
      </c>
      <c r="Q15" s="1102"/>
      <c r="R15" s="1133"/>
      <c r="S15" s="482" t="str">
        <f>IF('Start Page'!$AB$22="million gallons (US)","MG/Yr",IF('Start Page'!$AB$22="Megalitres (thousand cubic metres)","ML/Yr",IF('Start Page'!$AB$22="acre-feet","acre-ft/yr","")))</f>
        <v/>
      </c>
      <c r="T15" s="572"/>
      <c r="U15" s="550" t="s">
        <v>915</v>
      </c>
      <c r="V15" s="91"/>
      <c r="W15" s="475">
        <f>IF(P15="percent",1,2)</f>
        <v>1</v>
      </c>
      <c r="X15" s="102">
        <f>IF(H15&gt;0,IF(W15=1,O15*H15,Q15),0)</f>
        <v>0</v>
      </c>
      <c r="Y15" s="103" t="e">
        <f>$Y$19/$Y$18*H15</f>
        <v>#DIV/0!</v>
      </c>
      <c r="Z15" s="147" t="e">
        <f>$Y$19/$Y$18*ABS(X15)</f>
        <v>#DIV/0!</v>
      </c>
      <c r="AA15" s="885">
        <f>IF(W15=1,input_VOS-input_VOS/(1+O15*AB15),Q15*AB15)</f>
        <v>0</v>
      </c>
      <c r="AB15" s="526">
        <f>IF(OR(T15="",T15="Select….."),0,IF(T15="Under-registration",-1,1))</f>
        <v>0</v>
      </c>
      <c r="AC15" s="240" t="str">
        <f>IF(OR(H15&lt;=0,AND(H15&gt;0,OR(AND(W15=1,O15=0),AND(W15=2,Q15=0)))),"no","yes")</f>
        <v>no</v>
      </c>
      <c r="AD15" s="240" t="str">
        <f>IF(OR(T15="select…..",T15=""),"no","yes")</f>
        <v>no</v>
      </c>
      <c r="AE15" s="240" t="str">
        <f>IF(AND(AC15="yes",AD15="no"),"yes","no")</f>
        <v>no</v>
      </c>
      <c r="AF15" s="264">
        <f>IF(AE15="yes",1,0)</f>
        <v>0</v>
      </c>
      <c r="AG15" s="885">
        <f>input_VOS-AA15</f>
        <v>0</v>
      </c>
    </row>
    <row r="16" spans="1:33">
      <c r="A16" s="91"/>
      <c r="B16" s="553" t="s">
        <v>902</v>
      </c>
      <c r="C16" s="1006" t="s">
        <v>38</v>
      </c>
      <c r="D16" s="830" t="s">
        <v>875</v>
      </c>
      <c r="E16" s="568" t="s">
        <v>876</v>
      </c>
      <c r="F16" s="483" t="str">
        <f>'Interactive Data Grading'!D74</f>
        <v/>
      </c>
      <c r="G16" s="94"/>
      <c r="H16" s="523"/>
      <c r="I16" s="269"/>
      <c r="J16" s="270" t="str">
        <f>IF('Start Page'!$AB$22="million gallons (US)","MG/Yr",IF('Start Page'!$AB$22="Megalitres (thousand cubic metres)","ML/Yr",IF('Start Page'!$AB$22="acre-feet","Acre-ft/Yr","")))</f>
        <v/>
      </c>
      <c r="K16" s="833" t="s">
        <v>875</v>
      </c>
      <c r="L16" s="597" t="s">
        <v>876</v>
      </c>
      <c r="M16" s="483" t="str">
        <f>'Interactive Data Grading'!D96</f>
        <v/>
      </c>
      <c r="N16" s="270"/>
      <c r="O16" s="478"/>
      <c r="P16" s="571" t="s">
        <v>781</v>
      </c>
      <c r="Q16" s="1102"/>
      <c r="R16" s="1133"/>
      <c r="S16" s="482" t="str">
        <f>IF('Start Page'!$AB$22="million gallons (US)","MG/Yr",IF('Start Page'!$AB$22="Megalitres (thousand cubic metres)","ML/Yr",IF('Start Page'!$AB$22="acre-feet","acre-ft/yr","")))</f>
        <v/>
      </c>
      <c r="T16" s="572"/>
      <c r="U16" s="550" t="s">
        <v>916</v>
      </c>
      <c r="V16" s="91"/>
      <c r="W16" s="475">
        <f t="shared" ref="W16:W17" si="0">IF(P16="percent",1,2)</f>
        <v>1</v>
      </c>
      <c r="X16" s="102">
        <f>IF(H16&gt;0,IF(W16=1,O16*H16,Q16),0)</f>
        <v>0</v>
      </c>
      <c r="Y16" s="103" t="e">
        <f>$Y$19/$Y$18*H16</f>
        <v>#DIV/0!</v>
      </c>
      <c r="Z16" s="147" t="e">
        <f>$Y$19/$Y$18*ABS(X16)</f>
        <v>#DIV/0!</v>
      </c>
      <c r="AA16" s="885">
        <f>IF(W16=1,input_WI-input_WI/(1+O16*AB16),Q16*AB16)</f>
        <v>0</v>
      </c>
      <c r="AB16" s="526">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85">
        <f>input_WI-AA16</f>
        <v>0</v>
      </c>
    </row>
    <row r="17" spans="1:33" ht="13.35" customHeight="1">
      <c r="A17" s="91"/>
      <c r="B17" s="553" t="s">
        <v>903</v>
      </c>
      <c r="C17" s="1006" t="s">
        <v>39</v>
      </c>
      <c r="D17" s="830" t="s">
        <v>875</v>
      </c>
      <c r="E17" s="568" t="s">
        <v>876</v>
      </c>
      <c r="F17" s="483" t="str">
        <f>'Interactive Data Grading'!D127</f>
        <v/>
      </c>
      <c r="G17" s="94"/>
      <c r="H17" s="321"/>
      <c r="I17" s="269"/>
      <c r="J17" s="270" t="str">
        <f>IF('Start Page'!$AB$22="million gallons (US)","MG/Yr",IF('Start Page'!$AB$22="Megalitres (thousand cubic metres)","ML/Yr",IF('Start Page'!$AB$22="acre-feet","Acre-ft/Yr","")))</f>
        <v/>
      </c>
      <c r="K17" s="833" t="s">
        <v>875</v>
      </c>
      <c r="L17" s="597" t="s">
        <v>876</v>
      </c>
      <c r="M17" s="483" t="str">
        <f>'Interactive Data Grading'!D150</f>
        <v/>
      </c>
      <c r="N17" s="270"/>
      <c r="O17" s="478"/>
      <c r="P17" s="571" t="s">
        <v>781</v>
      </c>
      <c r="Q17" s="1102"/>
      <c r="R17" s="1133"/>
      <c r="S17" s="482" t="str">
        <f>IF('Start Page'!$AB$22="million gallons (US)","MG/Yr",IF('Start Page'!$AB$22="Megalitres (thousand cubic metres)","ML/Yr",IF('Start Page'!$AB$22="acre-feet","acre-ft/yr","")))</f>
        <v/>
      </c>
      <c r="T17" s="572"/>
      <c r="U17" s="550" t="s">
        <v>917</v>
      </c>
      <c r="V17" s="91"/>
      <c r="W17" s="475">
        <f t="shared" si="0"/>
        <v>1</v>
      </c>
      <c r="X17" s="102">
        <f>IF(H17&gt;0,IF(W17=1,O17*H17,Q17),0)</f>
        <v>0</v>
      </c>
      <c r="Y17" s="103" t="e">
        <f>$Y$19/$Y$18*H17</f>
        <v>#DIV/0!</v>
      </c>
      <c r="Z17" s="147" t="e">
        <f>$Y$19/$Y$18*ABS(X17)</f>
        <v>#DIV/0!</v>
      </c>
      <c r="AA17" s="885">
        <f>IF(W17=1,input_WE-input_WE/(1+O17*AB17),Q17*AB17)</f>
        <v>0</v>
      </c>
      <c r="AB17" s="526">
        <f t="shared" si="1"/>
        <v>0</v>
      </c>
      <c r="AC17" s="240" t="str">
        <f t="shared" si="2"/>
        <v>no</v>
      </c>
      <c r="AD17" s="240" t="str">
        <f>IF(OR(T17="select…..",T17=""),"no","yes")</f>
        <v>no</v>
      </c>
      <c r="AE17" s="240" t="str">
        <f t="shared" si="3"/>
        <v>no</v>
      </c>
      <c r="AF17" s="264">
        <f t="shared" si="4"/>
        <v>0</v>
      </c>
      <c r="AG17" s="885">
        <f>input_WE-AA17</f>
        <v>0</v>
      </c>
    </row>
    <row r="18" spans="1:33" ht="14.4" customHeight="1">
      <c r="A18" s="91"/>
      <c r="B18" s="552"/>
      <c r="E18" s="46"/>
      <c r="F18" s="46"/>
      <c r="G18" s="94"/>
      <c r="H18" s="488"/>
      <c r="I18" s="269"/>
      <c r="J18" s="264"/>
      <c r="K18" s="264"/>
      <c r="L18" s="264"/>
      <c r="M18" s="158"/>
      <c r="N18" s="264"/>
      <c r="O18" s="158"/>
      <c r="P18" s="266"/>
      <c r="T18" s="1101" t="s">
        <v>783</v>
      </c>
      <c r="U18" s="549"/>
      <c r="V18" s="91"/>
      <c r="W18" s="144"/>
      <c r="X18" s="104"/>
      <c r="Y18" s="103">
        <f>H15+H16+H17+IF(H15&gt;0,ABS(X15),0)+IF(H16&gt;0,ABS(X16),0)+IF(H17&gt;0,(ABS(X17)),)</f>
        <v>0</v>
      </c>
      <c r="Z18" s="148"/>
      <c r="AF18" s="264">
        <f>SUM(AF15:AF17)</f>
        <v>0</v>
      </c>
      <c r="AG18" s="46" t="s">
        <v>1185</v>
      </c>
    </row>
    <row r="19" spans="1:33" ht="13.8" thickBot="1">
      <c r="A19" s="91"/>
      <c r="B19" s="552"/>
      <c r="C19" s="1105" t="s">
        <v>107</v>
      </c>
      <c r="D19" s="1105"/>
      <c r="E19" s="1105"/>
      <c r="F19" s="1105"/>
      <c r="G19" s="265"/>
      <c r="H19" s="857">
        <f>IF(AF18&gt;0,"Select under/over",IF(H15&gt;0,IF(W15=1,H15/(1+O15*AB15),H15-Q15*AB15),0)+IF(H16&gt;0,IF(W16=1,H16/(1+O16*AB16),H16-Q16*AB16),0)-IF(H17&gt;0,IF(W17=1,H17/(1+O17*AB17),H17-Q17*AB17),0))</f>
        <v>0</v>
      </c>
      <c r="I19" s="272"/>
      <c r="J19" s="270" t="str">
        <f>IF('Start Page'!$AB$22="million gallons (US)","MG/Yr",IF('Start Page'!$AB$22="Megalitres (thousand cubic metres)","ML/Yr",IF('Start Page'!$AB$22="acre-feet","Acre-ft/Yr","")))</f>
        <v/>
      </c>
      <c r="K19" s="639" t="str">
        <f>IF(H19="Select under/over","----------------&gt;----------------&gt;----------------&gt;----------------&gt;----------------&gt;","")</f>
        <v/>
      </c>
      <c r="L19" s="270"/>
      <c r="M19" s="158"/>
      <c r="N19" s="270"/>
      <c r="O19" s="322"/>
      <c r="P19" s="265"/>
      <c r="Q19" s="264"/>
      <c r="T19" s="1101"/>
      <c r="U19" s="261"/>
      <c r="V19" s="91"/>
      <c r="W19" s="149"/>
      <c r="X19" s="150"/>
      <c r="Y19" s="150">
        <f>'M36 Refs'!AE121</f>
        <v>35</v>
      </c>
      <c r="Z19" s="151" t="s">
        <v>129</v>
      </c>
    </row>
    <row r="20" spans="1:33" ht="5.25" customHeight="1">
      <c r="A20" s="91"/>
      <c r="B20" s="552"/>
      <c r="C20" s="94"/>
      <c r="D20" s="94"/>
      <c r="E20" s="506"/>
      <c r="F20" s="271"/>
      <c r="G20" s="94"/>
      <c r="O20" s="264"/>
      <c r="P20" s="264"/>
      <c r="Q20" s="264"/>
      <c r="T20" s="1101"/>
      <c r="U20" s="256"/>
      <c r="V20" s="91"/>
    </row>
    <row r="21" spans="1:33" ht="6" customHeight="1">
      <c r="A21" s="91"/>
      <c r="B21" s="552"/>
      <c r="C21" s="539"/>
      <c r="D21" s="539"/>
      <c r="E21" s="540"/>
      <c r="F21" s="542" t="s">
        <v>13</v>
      </c>
      <c r="G21" s="539"/>
      <c r="H21" s="533"/>
      <c r="I21" s="533"/>
      <c r="J21" s="533"/>
      <c r="K21" s="533"/>
      <c r="L21" s="533"/>
      <c r="M21" s="533"/>
      <c r="N21" s="533"/>
      <c r="O21" s="538"/>
      <c r="P21" s="538"/>
      <c r="Q21" s="538"/>
      <c r="R21" s="533"/>
      <c r="T21" s="1101"/>
      <c r="U21" s="256"/>
      <c r="V21" s="91"/>
    </row>
    <row r="22" spans="1:33" ht="13.8" thickBot="1">
      <c r="A22" s="91"/>
      <c r="B22" s="552"/>
      <c r="C22" s="53" t="s">
        <v>109</v>
      </c>
      <c r="D22" s="503"/>
      <c r="E22" s="503"/>
      <c r="F22" s="273"/>
      <c r="G22" s="53"/>
      <c r="H22" s="53"/>
      <c r="I22" s="53"/>
      <c r="J22" s="53"/>
      <c r="K22" s="53"/>
      <c r="L22" s="53"/>
      <c r="M22" s="53"/>
      <c r="N22" s="53"/>
      <c r="O22" s="53"/>
      <c r="P22" s="53"/>
      <c r="Q22" s="53"/>
      <c r="R22" s="53"/>
      <c r="S22" s="53"/>
      <c r="T22" s="1101"/>
      <c r="U22" s="256"/>
      <c r="V22" s="91"/>
    </row>
    <row r="23" spans="1:33">
      <c r="A23" s="91"/>
      <c r="B23" s="553" t="s">
        <v>904</v>
      </c>
      <c r="C23" s="520" t="s">
        <v>475</v>
      </c>
      <c r="D23" s="830" t="s">
        <v>875</v>
      </c>
      <c r="E23" s="568" t="s">
        <v>876</v>
      </c>
      <c r="F23" s="483" t="str">
        <f>'Interactive Data Grading'!D177</f>
        <v/>
      </c>
      <c r="G23" s="94"/>
      <c r="H23" s="321"/>
      <c r="I23" s="269"/>
      <c r="J23" s="270" t="str">
        <f>IF('Start Page'!$AB$22="million gallons (US)","MG/Yr",IF('Start Page'!$AB$22="Megalitres (thousand cubic metres)","ML/Yr",IF('Start Page'!$AB$22="acre-feet","Acre-ft/Yr","")))</f>
        <v/>
      </c>
      <c r="K23" s="270"/>
      <c r="L23" s="270"/>
      <c r="M23" s="270"/>
      <c r="N23" s="270"/>
      <c r="T23" s="1101"/>
      <c r="U23" s="256"/>
      <c r="V23" s="91"/>
      <c r="W23" s="152"/>
      <c r="X23" s="141"/>
      <c r="Y23" s="153">
        <f>IFERROR($Y$26/$Y$25*H23,7)</f>
        <v>7</v>
      </c>
      <c r="Z23" s="154"/>
      <c r="AA23" s="158" t="s">
        <v>774</v>
      </c>
    </row>
    <row r="24" spans="1:33">
      <c r="A24" s="91"/>
      <c r="B24" s="553" t="s">
        <v>905</v>
      </c>
      <c r="C24" s="520" t="s">
        <v>476</v>
      </c>
      <c r="D24" s="830" t="s">
        <v>875</v>
      </c>
      <c r="E24" s="568" t="s">
        <v>876</v>
      </c>
      <c r="F24" s="483" t="str">
        <f>'Interactive Data Grading'!D200</f>
        <v/>
      </c>
      <c r="G24" s="94"/>
      <c r="H24" s="321"/>
      <c r="I24" s="269"/>
      <c r="J24" s="270" t="str">
        <f>IF('Start Page'!$AB$22="million gallons (US)","MG/Yr",IF('Start Page'!$AB$22="Megalitres (thousand cubic metres)","ML/Yr",IF('Start Page'!$AB$22="acre-feet","Acre-ft/Yr","")))</f>
        <v/>
      </c>
      <c r="K24" s="270"/>
      <c r="L24" s="270"/>
      <c r="M24" s="270"/>
      <c r="N24" s="270"/>
      <c r="Q24" s="82"/>
      <c r="R24" s="82"/>
      <c r="S24" s="82"/>
      <c r="T24" s="82"/>
      <c r="U24" s="256"/>
      <c r="V24" s="91"/>
      <c r="W24" s="144"/>
      <c r="Y24" s="103">
        <f>IFERROR($Y$26/$Y$25*H25,7)</f>
        <v>7</v>
      </c>
      <c r="Z24" s="146"/>
    </row>
    <row r="25" spans="1:33" ht="13.35" customHeight="1">
      <c r="A25" s="91"/>
      <c r="B25" s="553" t="s">
        <v>913</v>
      </c>
      <c r="C25" s="1006" t="s">
        <v>477</v>
      </c>
      <c r="D25" s="830" t="s">
        <v>875</v>
      </c>
      <c r="E25" s="568" t="s">
        <v>876</v>
      </c>
      <c r="F25" s="483" t="str">
        <f>'Interactive Data Grading'!D224</f>
        <v/>
      </c>
      <c r="G25" s="94"/>
      <c r="H25" s="492"/>
      <c r="I25" s="269"/>
      <c r="J25" s="270" t="str">
        <f>IF('Start Page'!$AB$22="million gallons (US)","MG/Yr",IF('Start Page'!$AB$22="Megalitres (thousand cubic metres)","ML/Yr",IF('Start Page'!$AB$22="acre-feet","Acre-ft/Yr","")))</f>
        <v/>
      </c>
      <c r="K25" s="270"/>
      <c r="L25" s="270"/>
      <c r="M25" s="270"/>
      <c r="N25" s="270"/>
      <c r="O25" s="265"/>
      <c r="P25" s="919" t="s">
        <v>1008</v>
      </c>
      <c r="Q25" s="265"/>
      <c r="U25" s="256"/>
      <c r="V25" s="91"/>
      <c r="W25" s="144"/>
      <c r="Y25" s="155">
        <f>H23+H25</f>
        <v>0</v>
      </c>
      <c r="Z25" s="146"/>
      <c r="AF25" s="99" t="s">
        <v>144</v>
      </c>
    </row>
    <row r="26" spans="1:33" ht="15" customHeight="1" thickBot="1">
      <c r="A26" s="91"/>
      <c r="B26" s="553" t="s">
        <v>914</v>
      </c>
      <c r="C26" s="1006" t="s">
        <v>478</v>
      </c>
      <c r="D26" s="830" t="s">
        <v>875</v>
      </c>
      <c r="E26" s="568" t="s">
        <v>876</v>
      </c>
      <c r="F26" s="483">
        <f>'Interactive Data Grading'!D247</f>
        <v>3</v>
      </c>
      <c r="G26" s="94"/>
      <c r="H26" s="489">
        <f>IF(OR(W26=1,AND(W26=2,Q26=0)),O26*SUM(H23:H24),Q26)</f>
        <v>0</v>
      </c>
      <c r="I26" s="269"/>
      <c r="J26" s="270" t="str">
        <f>IF('Start Page'!$AB$22="million gallons (US)","MG/Yr",IF('Start Page'!$AB$22="Megalitres (thousand cubic metres)","ML/Yr",IF('Start Page'!$AB$22="acre-feet","Acre-ft/Yr","")))</f>
        <v/>
      </c>
      <c r="K26" s="270"/>
      <c r="L26" s="270"/>
      <c r="M26" s="270"/>
      <c r="N26" s="270"/>
      <c r="O26" s="484">
        <v>2.5000000000000001E-3</v>
      </c>
      <c r="P26" s="638" t="s">
        <v>780</v>
      </c>
      <c r="Q26" s="1102"/>
      <c r="R26" s="1102"/>
      <c r="S26" s="482" t="str">
        <f>IF('Start Page'!$AB$22="million gallons (US)","MG/Yr",IF('Start Page'!$AB$22="Megalitres (thousand cubic metres)","ML/Yr",IF('Start Page'!$AB$22="acre-feet","acre-ft/yr","")))</f>
        <v/>
      </c>
      <c r="T26" s="251"/>
      <c r="U26" s="256"/>
      <c r="V26" s="91"/>
      <c r="W26" s="476">
        <f>IF(P26="default",1,2)</f>
        <v>1</v>
      </c>
      <c r="X26" s="156"/>
      <c r="Y26" s="156">
        <f>8+6</f>
        <v>14</v>
      </c>
      <c r="Z26" s="157" t="s">
        <v>129</v>
      </c>
      <c r="AA26" s="46" t="s">
        <v>130</v>
      </c>
    </row>
    <row r="27" spans="1:33" ht="2.25" customHeight="1">
      <c r="A27" s="91"/>
      <c r="B27" s="553"/>
      <c r="C27" s="82"/>
      <c r="D27" s="82"/>
      <c r="E27" s="507"/>
      <c r="F27" s="204"/>
      <c r="G27" s="204"/>
      <c r="H27" s="204"/>
      <c r="I27" s="204"/>
      <c r="J27" s="270"/>
      <c r="K27" s="270"/>
      <c r="L27" s="270"/>
      <c r="M27" s="270"/>
      <c r="N27" s="270"/>
      <c r="O27" s="270"/>
      <c r="P27" s="270"/>
      <c r="Q27" s="270">
        <v>24061</v>
      </c>
      <c r="R27" s="270"/>
      <c r="S27" s="270"/>
      <c r="T27" s="270"/>
      <c r="U27" s="256"/>
      <c r="V27" s="91"/>
    </row>
    <row r="28" spans="1:33" ht="15" customHeight="1">
      <c r="A28" s="91"/>
      <c r="B28" s="553"/>
      <c r="C28" s="548"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548"/>
      <c r="E28" s="548"/>
      <c r="F28" s="548"/>
      <c r="G28" s="548"/>
      <c r="H28" s="548"/>
      <c r="I28" s="548"/>
      <c r="J28" s="274"/>
      <c r="K28" s="274"/>
      <c r="L28" s="274"/>
      <c r="M28" s="107"/>
      <c r="N28" s="107"/>
      <c r="O28" s="107"/>
      <c r="P28" s="270"/>
      <c r="Q28" s="270"/>
      <c r="R28" s="270"/>
      <c r="S28" s="270"/>
      <c r="T28" s="270"/>
      <c r="U28" s="256"/>
      <c r="V28" s="91"/>
    </row>
    <row r="29" spans="1:33" ht="2.25" customHeight="1">
      <c r="A29" s="91"/>
      <c r="B29" s="553"/>
      <c r="C29" s="204"/>
      <c r="D29" s="204"/>
      <c r="E29" s="508"/>
      <c r="F29" s="264"/>
      <c r="G29" s="275"/>
      <c r="H29" s="269"/>
      <c r="I29" s="269"/>
      <c r="J29" s="264"/>
      <c r="K29" s="264"/>
      <c r="L29" s="264"/>
      <c r="M29" s="264"/>
      <c r="N29" s="264"/>
      <c r="Q29" s="240"/>
      <c r="U29" s="256"/>
      <c r="V29" s="91"/>
    </row>
    <row r="30" spans="1:33" ht="15" customHeight="1">
      <c r="A30" s="91"/>
      <c r="B30" s="553"/>
      <c r="C30" s="1099" t="s">
        <v>106</v>
      </c>
      <c r="D30" s="1099"/>
      <c r="E30" s="1099"/>
      <c r="F30" s="1099"/>
      <c r="G30" s="265"/>
      <c r="H30" s="857">
        <f>SUM(H23:H26)</f>
        <v>0</v>
      </c>
      <c r="I30" s="272"/>
      <c r="J30" s="270" t="str">
        <f>IF('Start Page'!$AB$22="million gallons (US)","MG/Yr",IF('Start Page'!$AB$22="Megalitres (thousand cubic metres)","ML/Yr",IF('Start Page'!$AB$22="acre-feet","Acre-ft/Yr","")))</f>
        <v/>
      </c>
      <c r="K30" s="270"/>
      <c r="L30" s="270"/>
      <c r="M30" s="270"/>
      <c r="N30" s="270"/>
      <c r="U30" s="256"/>
      <c r="V30" s="91"/>
    </row>
    <row r="31" spans="1:33" ht="2.25" customHeight="1">
      <c r="A31" s="91"/>
      <c r="B31" s="553"/>
      <c r="C31" s="204"/>
      <c r="D31" s="204"/>
      <c r="E31" s="508"/>
      <c r="F31" s="277"/>
      <c r="G31" s="272"/>
      <c r="I31" s="272"/>
      <c r="J31" s="101"/>
      <c r="K31" s="101"/>
      <c r="L31" s="101"/>
      <c r="M31" s="101"/>
      <c r="N31" s="101"/>
      <c r="Q31" s="278"/>
      <c r="U31" s="256"/>
      <c r="V31" s="91"/>
    </row>
    <row r="32" spans="1:33" ht="15" customHeight="1">
      <c r="A32" s="91"/>
      <c r="B32" s="553"/>
      <c r="C32" s="1134" t="str">
        <f>IF(AND(H30&gt;=H19,(H30&lt;&gt;0)),"               Check input values; WATER SUPPLIED should be greater than AUTHORIZED CONSUMPTION","")</f>
        <v/>
      </c>
      <c r="D32" s="1134"/>
      <c r="E32" s="1134"/>
      <c r="F32" s="1134"/>
      <c r="G32" s="1134"/>
      <c r="H32" s="1134"/>
      <c r="I32" s="1134"/>
      <c r="J32" s="1134"/>
      <c r="K32" s="1134"/>
      <c r="L32" s="1134"/>
      <c r="M32" s="1134"/>
      <c r="N32" s="1134"/>
      <c r="O32" s="1134"/>
      <c r="Q32" s="278"/>
      <c r="U32" s="256"/>
      <c r="V32" s="91"/>
    </row>
    <row r="33" spans="1:29" ht="3" customHeight="1">
      <c r="A33" s="91"/>
      <c r="B33" s="553"/>
      <c r="C33" s="94"/>
      <c r="D33" s="94"/>
      <c r="E33" s="506"/>
      <c r="F33" s="276"/>
      <c r="G33" s="94"/>
      <c r="O33" s="264"/>
      <c r="P33" s="264"/>
      <c r="Q33" s="264"/>
      <c r="U33" s="256"/>
      <c r="V33" s="91"/>
    </row>
    <row r="34" spans="1:29" ht="6" customHeight="1">
      <c r="A34" s="91"/>
      <c r="B34" s="553"/>
      <c r="C34" s="539"/>
      <c r="D34" s="539"/>
      <c r="E34" s="540"/>
      <c r="F34" s="541"/>
      <c r="G34" s="539"/>
      <c r="H34" s="533"/>
      <c r="I34" s="533"/>
      <c r="J34" s="533"/>
      <c r="K34" s="533"/>
      <c r="L34" s="533"/>
      <c r="M34" s="533"/>
      <c r="N34" s="533"/>
      <c r="O34" s="533"/>
      <c r="P34" s="533"/>
      <c r="Q34" s="533"/>
      <c r="R34" s="533"/>
      <c r="U34" s="256"/>
      <c r="V34" s="91"/>
    </row>
    <row r="35" spans="1:29" ht="15" customHeight="1">
      <c r="A35" s="91"/>
      <c r="B35" s="553"/>
      <c r="C35" s="53" t="s">
        <v>662</v>
      </c>
      <c r="D35" s="53"/>
      <c r="E35" s="503"/>
      <c r="F35" s="276"/>
      <c r="G35" s="53"/>
      <c r="H35" s="857">
        <f>IFERROR(H19-H30,"")</f>
        <v>0</v>
      </c>
      <c r="J35" s="270" t="str">
        <f>IF('Start Page'!$AB$22="million gallons (US)","MG/Yr",IF('Start Page'!$AB$22="Megalitres (thousand cubic metres)","ML/Yr",IF('Start Page'!$AB$22="acre-feet","Acre-ft/Yr","")))</f>
        <v/>
      </c>
      <c r="K35" s="270"/>
      <c r="L35" s="270"/>
      <c r="M35" s="270"/>
      <c r="N35" s="270"/>
      <c r="P35" s="1128"/>
      <c r="U35" s="256"/>
      <c r="V35" s="91"/>
    </row>
    <row r="36" spans="1:29" ht="13.35" customHeight="1">
      <c r="A36" s="91"/>
      <c r="B36" s="553"/>
      <c r="C36" s="279"/>
      <c r="D36" s="265"/>
      <c r="E36" s="503"/>
      <c r="F36" s="276"/>
      <c r="G36" s="53"/>
      <c r="P36" s="1128"/>
      <c r="T36" s="480"/>
      <c r="U36" s="256"/>
      <c r="V36" s="91"/>
    </row>
    <row r="37" spans="1:29">
      <c r="A37" s="91"/>
      <c r="B37" s="553"/>
      <c r="C37" s="94" t="s">
        <v>50</v>
      </c>
      <c r="E37" s="508"/>
      <c r="F37" s="276"/>
      <c r="G37" s="204"/>
      <c r="J37" s="101"/>
      <c r="K37" s="101"/>
      <c r="L37" s="101"/>
      <c r="M37" s="101"/>
      <c r="N37" s="101"/>
      <c r="O37" s="265"/>
      <c r="Q37" s="265"/>
      <c r="T37" s="480"/>
      <c r="U37" s="256"/>
      <c r="V37" s="91"/>
    </row>
    <row r="38" spans="1:29" ht="16.5" customHeight="1">
      <c r="A38" s="91"/>
      <c r="B38" s="553"/>
      <c r="C38" s="543"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09"/>
      <c r="F38" s="46"/>
      <c r="P38" s="919" t="s">
        <v>1008</v>
      </c>
      <c r="Q38" s="269"/>
      <c r="T38" s="480"/>
      <c r="U38" s="256"/>
      <c r="V38" s="91"/>
      <c r="W38" s="477"/>
    </row>
    <row r="39" spans="1:29" ht="13.35" customHeight="1">
      <c r="A39" s="91"/>
      <c r="B39" s="553" t="s">
        <v>910</v>
      </c>
      <c r="C39" s="1006" t="s">
        <v>229</v>
      </c>
      <c r="D39" s="830" t="s">
        <v>875</v>
      </c>
      <c r="E39" s="568" t="s">
        <v>876</v>
      </c>
      <c r="F39" s="483">
        <f>'Interactive Data Grading'!D271</f>
        <v>3</v>
      </c>
      <c r="G39" s="204"/>
      <c r="H39" s="490">
        <f>IF(OR(W39=1,AND(W39=2,Q39=0)),O39*SUM(H23:H24),Q39)</f>
        <v>0</v>
      </c>
      <c r="I39" s="280"/>
      <c r="J39" s="270" t="str">
        <f>IF('Start Page'!$AB$22="million gallons (US)","MG/Yr",IF('Start Page'!$AB$22="Megalitres (thousand cubic metres)","ML/Yr",IF('Start Page'!$AB$22="acre-feet","Acre-ft/Yr","")))</f>
        <v/>
      </c>
      <c r="K39" s="270"/>
      <c r="L39" s="270"/>
      <c r="M39" s="270"/>
      <c r="N39" s="270"/>
      <c r="O39" s="484">
        <v>2.5000000000000001E-3</v>
      </c>
      <c r="P39" s="573" t="s">
        <v>780</v>
      </c>
      <c r="Q39" s="1102"/>
      <c r="R39" s="1102"/>
      <c r="S39" s="482" t="str">
        <f>IF('Start Page'!$AB$22="million gallons (US)","MG/Yr",IF('Start Page'!$AB$22="Megalitres (thousand cubic metres)","ML/Yr",IF('Start Page'!$AB$22="acre-feet","acre-ft/yr","")))</f>
        <v/>
      </c>
      <c r="U39" s="256"/>
      <c r="V39" s="91"/>
      <c r="W39" s="477">
        <f>IF(P39="default",1,2)</f>
        <v>1</v>
      </c>
      <c r="Y39" s="240">
        <f>IF(OR(AND(W41=1,LEN(O41)&gt;0,O41&gt;10%),AND(W41=2,LEN(Q41)&gt;0,Q41&gt;(10%*SUM(H23,H25)))),1,0)</f>
        <v>0</v>
      </c>
    </row>
    <row r="40" spans="1:29" ht="14.25" hidden="1" customHeight="1">
      <c r="A40" s="91"/>
      <c r="B40" s="553"/>
      <c r="C40" s="82"/>
      <c r="D40" s="508"/>
      <c r="E40" s="569"/>
      <c r="F40" s="204"/>
      <c r="G40" s="204"/>
      <c r="H40" s="545"/>
      <c r="I40" s="204"/>
      <c r="J40" s="270"/>
      <c r="K40" s="270"/>
      <c r="L40" s="270"/>
      <c r="M40" s="270"/>
      <c r="N40" s="270"/>
      <c r="P40" s="574"/>
      <c r="Q40" s="269"/>
      <c r="U40" s="256"/>
      <c r="V40" s="91"/>
      <c r="W40" s="477"/>
    </row>
    <row r="41" spans="1:29" ht="15" customHeight="1">
      <c r="A41" s="91"/>
      <c r="B41" s="553" t="s">
        <v>911</v>
      </c>
      <c r="C41" s="520" t="s">
        <v>480</v>
      </c>
      <c r="D41" s="830" t="s">
        <v>875</v>
      </c>
      <c r="E41" s="568" t="s">
        <v>876</v>
      </c>
      <c r="F41" s="483" t="str">
        <f>'Interactive Data Grading'!D300</f>
        <v/>
      </c>
      <c r="G41" s="204"/>
      <c r="H41" s="592">
        <f>IF(OR(T41="Select…..",T41=""),"Select under/over",IF(W41=1,((H23+H25)/(1-(O41*X41)))-(H23+H25),Q41*X41))</f>
        <v>0</v>
      </c>
      <c r="I41" s="280"/>
      <c r="J41" s="270" t="str">
        <f>IF('Start Page'!$AB$22="million gallons (US)","MG/Yr",IF('Start Page'!$AB$22="Megalitres (thousand cubic metres)","ML/Yr",IF('Start Page'!$AB$22="acre-feet","Acre-ft/Yr","")))</f>
        <v/>
      </c>
      <c r="K41" s="270"/>
      <c r="L41" s="270"/>
      <c r="M41" s="270"/>
      <c r="N41" s="270"/>
      <c r="O41" s="521"/>
      <c r="P41" s="573" t="s">
        <v>781</v>
      </c>
      <c r="Q41" s="1102"/>
      <c r="R41" s="1102"/>
      <c r="S41" s="482" t="str">
        <f>IF('Start Page'!$AB$22="million gallons (US)","MG/Yr",IF('Start Page'!$AB$22="Megalitres (thousand cubic metres)","ML/Yr",IF('Start Page'!$AB$22="acre-feet","acre-ft/yr","")))</f>
        <v/>
      </c>
      <c r="T41" s="598" t="s">
        <v>1247</v>
      </c>
      <c r="U41" s="256"/>
      <c r="V41" s="91"/>
      <c r="W41" s="475">
        <f t="shared" ref="W41" si="5">IF(P41="percent",1,2)</f>
        <v>1</v>
      </c>
      <c r="X41" s="266">
        <f>IF(T41="Select…..","",IF(T41="Under-registration",1,-1))</f>
        <v>1</v>
      </c>
      <c r="Y41" s="906">
        <f>IF(AND(OR(LEN(O41)&gt;0,LEN(Q41)&gt;0),T41="Select….."),1,0)</f>
        <v>0</v>
      </c>
    </row>
    <row r="42" spans="1:29" ht="2.25" hidden="1" customHeight="1">
      <c r="B42" s="553"/>
      <c r="D42" s="509"/>
      <c r="E42" s="570"/>
      <c r="H42" s="155"/>
      <c r="P42" s="158"/>
    </row>
    <row r="43" spans="1:29" ht="15" customHeight="1">
      <c r="A43" s="91"/>
      <c r="B43" s="553" t="s">
        <v>912</v>
      </c>
      <c r="C43" s="1006" t="s">
        <v>479</v>
      </c>
      <c r="D43" s="830" t="s">
        <v>875</v>
      </c>
      <c r="E43" s="568" t="s">
        <v>876</v>
      </c>
      <c r="F43" s="483">
        <f>'Interactive Data Grading'!D322</f>
        <v>3</v>
      </c>
      <c r="G43" s="204"/>
      <c r="H43" s="489">
        <f>IF(OR(W43=1,AND(W43=2,Q43=0)),O43*SUM(H23:H24),Q43)</f>
        <v>0</v>
      </c>
      <c r="I43" s="280"/>
      <c r="J43" s="270" t="str">
        <f>IF('Start Page'!$AB$22="million gallons (US)","MG/Yr",IF('Start Page'!$AB$22="Megalitres (thousand cubic metres)","ML/Yr",IF('Start Page'!$AB$22="acre-feet","Acre-ft/Yr","")))</f>
        <v/>
      </c>
      <c r="K43" s="270"/>
      <c r="L43" s="270"/>
      <c r="M43" s="270"/>
      <c r="N43" s="270"/>
      <c r="O43" s="484">
        <v>2.5000000000000001E-3</v>
      </c>
      <c r="P43" s="573" t="s">
        <v>780</v>
      </c>
      <c r="Q43" s="1102"/>
      <c r="R43" s="1102"/>
      <c r="S43" s="482" t="str">
        <f>IF('Start Page'!$AB$22="million gallons (US)","MG/Yr",IF('Start Page'!$AB$22="Megalitres (thousand cubic metres)","ML/Yr",IF('Start Page'!$AB$22="acre-feet","acre-ft/yr","")))</f>
        <v/>
      </c>
      <c r="T43" s="480"/>
      <c r="U43" s="256"/>
      <c r="V43" s="91"/>
      <c r="W43" s="477">
        <f>IF(P43="default",1,2)</f>
        <v>1</v>
      </c>
    </row>
    <row r="44" spans="1:29">
      <c r="A44" s="91"/>
      <c r="B44" s="553"/>
      <c r="C44" s="543"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103"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53"/>
      <c r="C45" s="82"/>
      <c r="D45" s="204"/>
      <c r="E45" s="508"/>
      <c r="F45" s="204"/>
      <c r="G45" s="204"/>
      <c r="H45" s="204"/>
      <c r="I45" s="204"/>
      <c r="J45" s="204"/>
      <c r="K45" s="204"/>
      <c r="L45" s="204"/>
      <c r="M45" s="270"/>
      <c r="N45" s="270"/>
      <c r="P45" s="269"/>
      <c r="Q45" s="281"/>
      <c r="R45" s="281"/>
      <c r="S45" s="281"/>
      <c r="T45" s="1103"/>
      <c r="U45" s="256"/>
      <c r="V45" s="91"/>
    </row>
    <row r="46" spans="1:29" ht="14.1" customHeight="1">
      <c r="A46" s="91"/>
      <c r="B46" s="553"/>
      <c r="C46" s="1106" t="s">
        <v>40</v>
      </c>
      <c r="D46" s="1106"/>
      <c r="E46" s="1106"/>
      <c r="F46" s="1106"/>
      <c r="G46" s="216"/>
      <c r="H46" s="857">
        <f t="array" ref="H46">SUM(IF(ISNUMBER(H39:H43),H39:H43))</f>
        <v>0</v>
      </c>
      <c r="I46" s="204"/>
      <c r="J46" s="270" t="str">
        <f>IF('Start Page'!$AB$22="million gallons (US)","MG/Yr",IF('Start Page'!$AB$22="Megalitres (thousand cubic metres)","ML/Yr",IF('Start Page'!$AB$22="acre-feet","Acre-ft/Yr","")))</f>
        <v/>
      </c>
      <c r="K46" s="270"/>
      <c r="L46" s="270"/>
      <c r="M46" s="270"/>
      <c r="N46" s="270"/>
      <c r="Q46" s="281"/>
      <c r="R46" s="281"/>
      <c r="T46" s="1103"/>
      <c r="U46" s="256"/>
      <c r="V46" s="91"/>
      <c r="X46" s="158" t="s">
        <v>295</v>
      </c>
      <c r="AA46" s="158"/>
    </row>
    <row r="47" spans="1:29" ht="2.25" customHeight="1" thickBot="1">
      <c r="A47" s="91"/>
      <c r="B47" s="553"/>
      <c r="C47" s="204"/>
      <c r="D47" s="284"/>
      <c r="E47" s="510"/>
      <c r="F47" s="284"/>
      <c r="G47" s="284"/>
      <c r="I47" s="284"/>
      <c r="J47" s="272"/>
      <c r="K47" s="272"/>
      <c r="L47" s="272"/>
      <c r="M47" s="272"/>
      <c r="N47" s="272"/>
      <c r="O47" s="269"/>
      <c r="Q47" s="281"/>
      <c r="R47" s="281"/>
      <c r="S47" s="479"/>
      <c r="T47" s="1103"/>
      <c r="U47" s="256"/>
      <c r="V47" s="91"/>
    </row>
    <row r="48" spans="1:29" ht="18" customHeight="1">
      <c r="A48" s="91"/>
      <c r="B48" s="553"/>
      <c r="C48" s="1104" t="str">
        <f>IF(AND(H46&gt;=H35,(H46&lt;&gt;0)),"Check input values; APPARENT LOSSES should be less than WATER LOSSES","")</f>
        <v/>
      </c>
      <c r="D48" s="1104"/>
      <c r="E48" s="1104"/>
      <c r="F48" s="1104"/>
      <c r="G48" s="1104"/>
      <c r="H48" s="1104"/>
      <c r="I48" s="1104"/>
      <c r="J48" s="1104"/>
      <c r="K48" s="1104"/>
      <c r="L48" s="1104"/>
      <c r="M48" s="1104"/>
      <c r="N48" s="1104"/>
      <c r="O48" s="1104"/>
      <c r="Q48" s="281"/>
      <c r="R48" s="281"/>
      <c r="S48" s="479"/>
      <c r="T48" s="1103"/>
      <c r="U48" s="256"/>
      <c r="V48" s="91"/>
      <c r="X48" s="130" t="s">
        <v>266</v>
      </c>
      <c r="Y48" s="131" t="s">
        <v>267</v>
      </c>
      <c r="AA48" s="1100"/>
      <c r="AB48" s="1100"/>
      <c r="AC48" s="1100"/>
    </row>
    <row r="49" spans="1:29" ht="2.25" customHeight="1">
      <c r="A49" s="91"/>
      <c r="B49" s="553"/>
      <c r="C49" s="204"/>
      <c r="D49" s="284"/>
      <c r="E49" s="510"/>
      <c r="F49" s="285"/>
      <c r="G49" s="284"/>
      <c r="I49" s="284"/>
      <c r="J49" s="272"/>
      <c r="K49" s="272"/>
      <c r="L49" s="272"/>
      <c r="M49" s="272"/>
      <c r="N49" s="272"/>
      <c r="O49" s="269"/>
      <c r="Q49" s="281"/>
      <c r="R49" s="281"/>
      <c r="S49" s="281"/>
      <c r="T49" s="1103"/>
      <c r="U49" s="256"/>
      <c r="V49" s="91"/>
      <c r="X49" s="132"/>
      <c r="Y49" s="133"/>
      <c r="AA49" s="1100"/>
      <c r="AB49" s="1100"/>
      <c r="AC49" s="1100"/>
    </row>
    <row r="50" spans="1:29" ht="15" customHeight="1" thickBot="1">
      <c r="A50" s="91"/>
      <c r="B50" s="553"/>
      <c r="C50" s="94" t="s">
        <v>663</v>
      </c>
      <c r="D50" s="284"/>
      <c r="E50" s="510"/>
      <c r="F50" s="283"/>
      <c r="G50" s="284"/>
      <c r="H50" s="101"/>
      <c r="J50" s="101"/>
      <c r="K50" s="101"/>
      <c r="L50" s="101"/>
      <c r="M50" s="286"/>
      <c r="N50" s="101"/>
      <c r="Q50" s="281"/>
      <c r="R50" s="281"/>
      <c r="S50" s="281"/>
      <c r="T50" s="1103"/>
      <c r="U50" s="256"/>
      <c r="V50" s="91"/>
      <c r="X50" s="134">
        <f>IFERROR(IF(W41=1,((H23)/(1-(O41*X41)))-(H23),Q41*H23/(H23+H25)),0)</f>
        <v>0</v>
      </c>
      <c r="Y50" s="135">
        <f>IFERROR(IF(W41=1,((H25)/(1-(O41*X41)))-(H25),Q41*H25/(H23+H25)),0)</f>
        <v>0</v>
      </c>
      <c r="Z50" s="912">
        <f>SUM(X50:Y50)</f>
        <v>0</v>
      </c>
      <c r="AA50" s="1100"/>
      <c r="AB50" s="1100"/>
      <c r="AC50" s="1100"/>
    </row>
    <row r="51" spans="1:29">
      <c r="A51" s="91"/>
      <c r="B51" s="553"/>
      <c r="C51" s="1106" t="s">
        <v>656</v>
      </c>
      <c r="D51" s="1106"/>
      <c r="E51" s="1106"/>
      <c r="F51" s="1106"/>
      <c r="G51" s="858"/>
      <c r="H51" s="857">
        <f>IFERROR(H35-H46,"")</f>
        <v>0</v>
      </c>
      <c r="I51" s="284"/>
      <c r="J51" s="270" t="str">
        <f>IF('Start Page'!$AB$22="million gallons (US)","MG/Yr",IF('Start Page'!$AB$22="Megalitres (thousand cubic metres)","ML/Yr",IF('Start Page'!$AB$22="acre-feet","Acre-ft/Yr","")))</f>
        <v/>
      </c>
      <c r="K51" s="270"/>
      <c r="L51" s="270"/>
      <c r="M51" s="287"/>
      <c r="N51" s="270"/>
      <c r="Q51" s="269"/>
      <c r="U51" s="256"/>
      <c r="V51" s="91"/>
      <c r="X51" s="929">
        <f>X50*input_CRUC*1000</f>
        <v>0</v>
      </c>
      <c r="Y51" s="929">
        <f>Y50*input_VPC</f>
        <v>0</v>
      </c>
    </row>
    <row r="52" spans="1:29">
      <c r="A52" s="91"/>
      <c r="B52" s="553"/>
      <c r="C52" s="286"/>
      <c r="D52" s="284"/>
      <c r="E52" s="510"/>
      <c r="F52" s="283"/>
      <c r="G52" s="284"/>
      <c r="H52" s="272"/>
      <c r="I52" s="284"/>
      <c r="J52" s="264"/>
      <c r="K52" s="264"/>
      <c r="L52" s="264"/>
      <c r="M52" s="264"/>
      <c r="N52" s="264"/>
      <c r="Q52" s="269"/>
      <c r="U52" s="256"/>
      <c r="V52" s="91"/>
    </row>
    <row r="53" spans="1:29">
      <c r="A53" s="91"/>
      <c r="B53" s="553"/>
      <c r="C53" s="1145" t="s">
        <v>105</v>
      </c>
      <c r="D53" s="1145"/>
      <c r="E53" s="1145"/>
      <c r="F53" s="1145"/>
      <c r="G53" s="574"/>
      <c r="H53" s="857">
        <f>IFERROR(H46+H51,"")</f>
        <v>0</v>
      </c>
      <c r="I53" s="269"/>
      <c r="J53" s="270" t="str">
        <f>IF('Start Page'!$AB$22="million gallons (US)","MG/Yr",IF('Start Page'!$AB$22="Megalitres (thousand cubic metres)","ML/Yr",IF('Start Page'!$AB$22="acre-feet","Acre-ft/Yr","")))</f>
        <v/>
      </c>
      <c r="K53" s="270"/>
      <c r="L53" s="270"/>
      <c r="M53" s="270"/>
      <c r="N53" s="270"/>
      <c r="Q53" s="264"/>
      <c r="U53" s="256"/>
      <c r="V53" s="91"/>
    </row>
    <row r="54" spans="1:29" ht="5.25" customHeight="1">
      <c r="A54" s="91"/>
      <c r="B54" s="553"/>
      <c r="C54" s="204"/>
      <c r="D54" s="288"/>
      <c r="E54" s="511"/>
      <c r="F54" s="283"/>
      <c r="G54" s="288"/>
      <c r="H54" s="269"/>
      <c r="I54" s="269"/>
      <c r="J54" s="269"/>
      <c r="K54" s="269"/>
      <c r="L54" s="269"/>
      <c r="M54" s="269"/>
      <c r="N54" s="269"/>
      <c r="O54" s="264"/>
      <c r="P54" s="264"/>
      <c r="Q54" s="264"/>
      <c r="U54" s="256"/>
      <c r="V54" s="91"/>
    </row>
    <row r="55" spans="1:29" ht="6" customHeight="1">
      <c r="A55" s="91"/>
      <c r="B55" s="553"/>
      <c r="C55" s="534"/>
      <c r="D55" s="535"/>
      <c r="E55" s="536"/>
      <c r="F55" s="532"/>
      <c r="G55" s="535"/>
      <c r="H55" s="537"/>
      <c r="I55" s="537"/>
      <c r="J55" s="537"/>
      <c r="K55" s="537"/>
      <c r="L55" s="537"/>
      <c r="M55" s="537"/>
      <c r="N55" s="537"/>
      <c r="O55" s="538"/>
      <c r="P55" s="538"/>
      <c r="Q55" s="538"/>
      <c r="R55" s="533"/>
      <c r="U55" s="256"/>
      <c r="V55" s="91"/>
    </row>
    <row r="56" spans="1:29" ht="13.5" customHeight="1">
      <c r="A56" s="91"/>
      <c r="B56" s="553"/>
      <c r="C56" s="94" t="s">
        <v>9</v>
      </c>
      <c r="D56" s="284"/>
      <c r="E56" s="510"/>
      <c r="F56" s="283"/>
      <c r="G56" s="284"/>
      <c r="H56" s="272"/>
      <c r="I56" s="284"/>
      <c r="J56" s="264"/>
      <c r="K56" s="264"/>
      <c r="L56" s="264"/>
      <c r="M56" s="264"/>
      <c r="N56" s="264"/>
      <c r="Q56" s="269"/>
      <c r="U56" s="256"/>
      <c r="V56" s="91"/>
    </row>
    <row r="57" spans="1:29" ht="13.5" customHeight="1">
      <c r="A57" s="91"/>
      <c r="B57" s="553"/>
      <c r="C57" s="1099" t="s">
        <v>70</v>
      </c>
      <c r="D57" s="1099"/>
      <c r="E57" s="1099"/>
      <c r="F57" s="1099"/>
      <c r="G57" s="858"/>
      <c r="H57" s="857">
        <f>IFERROR(H35+H25+H26,"")</f>
        <v>0</v>
      </c>
      <c r="I57" s="284"/>
      <c r="J57" s="270" t="str">
        <f>IF('Start Page'!$AB$22="million gallons (US)","MG/Yr",IF('Start Page'!$AB$22="Megalitres (thousand cubic metres)","ML/Yr",IF('Start Page'!$AB$22="acre-feet","Acre-ft/Yr","")))</f>
        <v/>
      </c>
      <c r="K57" s="270"/>
      <c r="L57" s="270"/>
      <c r="M57" s="290"/>
      <c r="N57" s="270"/>
      <c r="Q57" s="269"/>
      <c r="U57" s="256"/>
      <c r="V57" s="91"/>
    </row>
    <row r="58" spans="1:29" ht="13.5" customHeight="1">
      <c r="A58" s="91"/>
      <c r="B58" s="553"/>
      <c r="C58" s="528"/>
      <c r="D58" s="251"/>
      <c r="E58" s="529"/>
      <c r="F58" s="251"/>
      <c r="G58" s="251"/>
      <c r="H58" s="251"/>
      <c r="I58" s="251"/>
      <c r="J58" s="251"/>
      <c r="K58" s="251"/>
      <c r="L58" s="251"/>
      <c r="M58" s="251"/>
      <c r="N58" s="251"/>
      <c r="O58" s="251"/>
      <c r="P58" s="251"/>
      <c r="Q58" s="251"/>
      <c r="R58" s="251"/>
      <c r="S58" s="251"/>
      <c r="T58" s="251"/>
      <c r="U58" s="256"/>
      <c r="V58" s="91"/>
    </row>
    <row r="59" spans="1:29" ht="16.5" customHeight="1">
      <c r="A59" s="91"/>
      <c r="B59" s="553"/>
      <c r="C59" s="530" t="s">
        <v>63</v>
      </c>
      <c r="D59" s="531"/>
      <c r="E59" s="531"/>
      <c r="F59" s="532"/>
      <c r="G59" s="530"/>
      <c r="H59" s="533"/>
      <c r="I59" s="533"/>
      <c r="J59" s="533"/>
      <c r="K59" s="533"/>
      <c r="L59" s="533"/>
      <c r="M59" s="533"/>
      <c r="N59" s="533"/>
      <c r="O59" s="533"/>
      <c r="P59" s="533"/>
      <c r="Q59" s="533"/>
      <c r="R59" s="533"/>
      <c r="U59" s="256"/>
      <c r="V59" s="91"/>
    </row>
    <row r="60" spans="1:29" ht="5.25" customHeight="1">
      <c r="A60" s="91"/>
      <c r="B60" s="553"/>
      <c r="C60" s="53"/>
      <c r="D60" s="503"/>
      <c r="E60" s="503"/>
      <c r="F60" s="289"/>
      <c r="G60" s="53"/>
      <c r="U60" s="256"/>
      <c r="V60" s="91"/>
    </row>
    <row r="61" spans="1:29">
      <c r="A61" s="91"/>
      <c r="B61" s="553" t="s">
        <v>562</v>
      </c>
      <c r="C61" s="520" t="s">
        <v>53</v>
      </c>
      <c r="D61" s="830" t="s">
        <v>875</v>
      </c>
      <c r="E61" s="568" t="s">
        <v>876</v>
      </c>
      <c r="F61" s="483" t="str">
        <f>'Interactive Data Grading'!D350</f>
        <v/>
      </c>
      <c r="G61" s="53"/>
      <c r="H61" s="323"/>
      <c r="I61" s="291"/>
      <c r="J61" s="292" t="str">
        <f>IF(ISBLANK('Start Page'!$AB$22),"",IF('Start Page'!$AB$22="Megalitres (thousand cubic metres)","kilometers","miles"))</f>
        <v/>
      </c>
      <c r="K61" s="292"/>
      <c r="L61" s="292"/>
      <c r="M61" s="292" t="s">
        <v>658</v>
      </c>
      <c r="N61" s="292"/>
      <c r="U61" s="256"/>
      <c r="V61" s="91"/>
    </row>
    <row r="62" spans="1:29">
      <c r="A62" s="91"/>
      <c r="B62" s="553" t="s">
        <v>575</v>
      </c>
      <c r="C62" s="520" t="s">
        <v>657</v>
      </c>
      <c r="D62" s="830" t="s">
        <v>875</v>
      </c>
      <c r="E62" s="568" t="s">
        <v>876</v>
      </c>
      <c r="F62" s="483" t="str">
        <f>'Interactive Data Grading'!D374</f>
        <v/>
      </c>
      <c r="G62" s="53"/>
      <c r="H62" s="493"/>
      <c r="I62" s="291"/>
      <c r="J62" s="292"/>
      <c r="K62" s="101"/>
      <c r="L62" s="101"/>
      <c r="M62" s="292" t="s">
        <v>896</v>
      </c>
      <c r="N62" s="101"/>
      <c r="U62" s="256"/>
      <c r="V62" s="91"/>
    </row>
    <row r="63" spans="1:29">
      <c r="A63" s="91"/>
      <c r="B63" s="553"/>
      <c r="C63" s="1006" t="s">
        <v>161</v>
      </c>
      <c r="D63" s="53"/>
      <c r="E63" s="503"/>
      <c r="F63" s="273"/>
      <c r="G63" s="53"/>
      <c r="H63" s="491" t="str">
        <f>IF(ISERROR(H62/H61),"",H62/H61)</f>
        <v/>
      </c>
      <c r="J63" s="292" t="str">
        <f>IF(ISBLANK('Start Page'!$AB$22),"",IF('Start Page'!$AB$22="Megalitres (thousand cubic metres)","conn./km","conn./mile")&amp; " main")</f>
        <v/>
      </c>
      <c r="K63" s="292"/>
      <c r="L63" s="292"/>
      <c r="M63" s="293"/>
      <c r="N63" s="292"/>
      <c r="U63" s="256"/>
      <c r="V63" s="91"/>
    </row>
    <row r="64" spans="1:29" ht="13.35" customHeight="1">
      <c r="A64" s="91"/>
      <c r="B64" s="553"/>
      <c r="C64" s="544"/>
      <c r="D64" s="53"/>
      <c r="E64" s="503"/>
      <c r="F64" s="273"/>
      <c r="G64" s="273"/>
      <c r="J64" s="292"/>
      <c r="K64" s="292"/>
      <c r="L64" s="292"/>
      <c r="M64" s="293"/>
      <c r="N64" s="292"/>
      <c r="U64" s="256"/>
      <c r="V64" s="91"/>
    </row>
    <row r="65" spans="1:26" ht="13.35" customHeight="1">
      <c r="A65" s="91"/>
      <c r="B65" s="553"/>
      <c r="C65" s="1124" t="s">
        <v>763</v>
      </c>
      <c r="D65" s="1124"/>
      <c r="E65" s="1124"/>
      <c r="F65" s="1124"/>
      <c r="G65" s="273"/>
      <c r="H65" s="324"/>
      <c r="J65" s="292"/>
      <c r="K65" s="292"/>
      <c r="L65" s="292"/>
      <c r="M65" s="293"/>
      <c r="N65" s="292"/>
      <c r="U65" s="256"/>
      <c r="V65" s="91"/>
      <c r="W65" s="55">
        <f>IF(H65="Yes",1,0)</f>
        <v>0</v>
      </c>
      <c r="X65" s="54" t="s">
        <v>124</v>
      </c>
      <c r="Y65" s="54"/>
      <c r="Z65" s="54"/>
    </row>
    <row r="66" spans="1:26" ht="13.5" customHeight="1">
      <c r="A66" s="91"/>
      <c r="B66" s="553" t="s">
        <v>590</v>
      </c>
      <c r="C66" s="520" t="s">
        <v>659</v>
      </c>
      <c r="D66" s="830" t="s">
        <v>875</v>
      </c>
      <c r="E66" s="568" t="s">
        <v>876</v>
      </c>
      <c r="F66" s="483" t="str">
        <f>'Interactive Data Grading'!D398</f>
        <v/>
      </c>
      <c r="G66" s="53"/>
      <c r="H66" s="325"/>
      <c r="I66" s="53"/>
      <c r="J66" s="292" t="str">
        <f>IF(ISBLANK('Start Page'!$AB$22),"",IF('Start Page'!AB22="Megalitres (thousand cubic metres)","metres","ft"))</f>
        <v/>
      </c>
      <c r="K66" s="292"/>
      <c r="L66" s="292"/>
      <c r="M66" s="292" t="s">
        <v>660</v>
      </c>
      <c r="N66" s="292"/>
      <c r="O66" s="294"/>
      <c r="P66" s="294"/>
      <c r="Q66" s="294"/>
      <c r="R66" s="294"/>
      <c r="S66" s="294"/>
      <c r="T66" s="294"/>
      <c r="U66" s="256"/>
      <c r="V66" s="91"/>
      <c r="W66" s="55" t="str">
        <f>IF(H65="Yes",10,F66)</f>
        <v/>
      </c>
      <c r="X66" s="54" t="s">
        <v>125</v>
      </c>
      <c r="Y66" s="54"/>
      <c r="Z66" s="54"/>
    </row>
    <row r="67" spans="1:26" ht="14.4" customHeight="1">
      <c r="A67" s="91"/>
      <c r="B67" s="553"/>
      <c r="C67" s="1107" t="str">
        <f>IF(H65="Yes","Average length of customer service line has been set to zero and a data grading of 10 has been applied","")</f>
        <v/>
      </c>
      <c r="D67" s="1107"/>
      <c r="E67" s="1107"/>
      <c r="F67" s="1107"/>
      <c r="G67" s="1107"/>
      <c r="H67" s="1107"/>
      <c r="I67" s="1107"/>
      <c r="J67" s="1107"/>
      <c r="K67" s="1107"/>
      <c r="L67" s="1107"/>
      <c r="M67" s="1107"/>
      <c r="N67" s="1107"/>
      <c r="O67" s="1107"/>
      <c r="P67" s="294"/>
      <c r="Q67" s="294"/>
      <c r="R67" s="294"/>
      <c r="S67" s="294"/>
      <c r="T67" s="294"/>
      <c r="U67" s="256"/>
      <c r="V67" s="91"/>
      <c r="W67" s="55">
        <f>IF(H65="Yes",0,H66)</f>
        <v>0</v>
      </c>
      <c r="X67" s="54" t="s">
        <v>126</v>
      </c>
      <c r="Y67" s="54"/>
      <c r="Z67" s="54"/>
    </row>
    <row r="68" spans="1:26">
      <c r="A68" s="91"/>
      <c r="B68" s="553" t="s">
        <v>909</v>
      </c>
      <c r="C68" s="520" t="s">
        <v>481</v>
      </c>
      <c r="D68" s="830" t="s">
        <v>875</v>
      </c>
      <c r="E68" s="568" t="s">
        <v>876</v>
      </c>
      <c r="F68" s="483" t="str">
        <f>'Interactive Data Grading'!D422</f>
        <v/>
      </c>
      <c r="G68" s="53"/>
      <c r="H68" s="325"/>
      <c r="I68" s="295"/>
      <c r="J68" s="292" t="str">
        <f>IF(ISBLANK('Start Page'!$AB$22),"",IF('Start Page'!AB22="Megalitres (thousand cubic metres)","metres (head)","psi"))</f>
        <v/>
      </c>
      <c r="K68" s="292"/>
      <c r="L68" s="292"/>
      <c r="M68" s="292"/>
      <c r="N68" s="292"/>
      <c r="P68" s="240"/>
      <c r="U68" s="256"/>
      <c r="V68" s="91"/>
    </row>
    <row r="69" spans="1:26" ht="3" customHeight="1">
      <c r="A69" s="91"/>
      <c r="B69" s="553"/>
      <c r="C69" s="82"/>
      <c r="D69" s="53"/>
      <c r="E69" s="503"/>
      <c r="F69" s="53"/>
      <c r="G69" s="53"/>
      <c r="H69" s="53"/>
      <c r="I69" s="53"/>
      <c r="J69" s="292"/>
      <c r="K69" s="292"/>
      <c r="L69" s="292"/>
      <c r="M69" s="292"/>
      <c r="N69" s="292"/>
      <c r="P69" s="240"/>
      <c r="U69" s="256"/>
      <c r="V69" s="91"/>
    </row>
    <row r="70" spans="1:26">
      <c r="A70" s="91"/>
      <c r="B70" s="553"/>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53"/>
      <c r="C71" s="262"/>
      <c r="D71" s="85"/>
      <c r="E71" s="512"/>
      <c r="F71" s="85"/>
      <c r="G71" s="85"/>
      <c r="H71" s="85"/>
      <c r="I71" s="85"/>
      <c r="J71" s="85"/>
      <c r="K71" s="85"/>
      <c r="L71" s="85"/>
      <c r="M71" s="85"/>
      <c r="N71" s="85"/>
      <c r="O71" s="85"/>
      <c r="P71" s="85"/>
      <c r="Q71" s="85"/>
      <c r="R71" s="85"/>
      <c r="U71" s="256"/>
      <c r="V71" s="91"/>
    </row>
    <row r="72" spans="1:26" ht="6" customHeight="1">
      <c r="A72" s="91"/>
      <c r="B72" s="553"/>
      <c r="C72" s="53"/>
      <c r="D72" s="53"/>
      <c r="E72" s="503"/>
      <c r="F72" s="289"/>
      <c r="G72" s="53"/>
      <c r="U72" s="256"/>
      <c r="V72" s="91"/>
    </row>
    <row r="73" spans="1:26" ht="13.5" customHeight="1">
      <c r="A73" s="91"/>
      <c r="B73" s="553"/>
      <c r="C73" s="53" t="s">
        <v>26</v>
      </c>
      <c r="D73" s="53"/>
      <c r="E73" s="503"/>
      <c r="F73" s="289"/>
      <c r="G73" s="53"/>
      <c r="H73" s="297"/>
      <c r="U73" s="256"/>
      <c r="V73" s="91"/>
    </row>
    <row r="74" spans="1:26" ht="5.25" customHeight="1">
      <c r="A74" s="91"/>
      <c r="B74" s="553"/>
      <c r="C74" s="53"/>
      <c r="D74" s="53"/>
      <c r="E74" s="503"/>
      <c r="F74" s="289"/>
      <c r="G74" s="53"/>
      <c r="U74" s="256"/>
      <c r="V74" s="91"/>
    </row>
    <row r="75" spans="1:26" ht="14.25" hidden="1" customHeight="1">
      <c r="A75" s="91"/>
      <c r="B75" s="553"/>
      <c r="C75" s="267" t="s">
        <v>616</v>
      </c>
      <c r="D75" s="204"/>
      <c r="E75" s="508"/>
      <c r="F75" s="268" t="e">
        <f>'Interactive Data Grading'!#REF!</f>
        <v>#REF!</v>
      </c>
      <c r="H75" s="298">
        <v>1000000</v>
      </c>
      <c r="J75" s="292" t="s">
        <v>29</v>
      </c>
      <c r="K75" s="292"/>
      <c r="L75" s="292"/>
      <c r="M75" s="292"/>
      <c r="U75" s="256"/>
      <c r="V75" s="91"/>
    </row>
    <row r="76" spans="1:26" ht="14.25" customHeight="1">
      <c r="A76" s="91"/>
      <c r="B76" s="553" t="s">
        <v>906</v>
      </c>
      <c r="C76" s="520" t="s">
        <v>918</v>
      </c>
      <c r="D76" s="830" t="s">
        <v>875</v>
      </c>
      <c r="E76" s="527" t="s">
        <v>876</v>
      </c>
      <c r="F76" s="483" t="str">
        <f>'Interactive Data Grading'!D446</f>
        <v/>
      </c>
      <c r="H76" s="326"/>
      <c r="J76" s="1113"/>
      <c r="K76" s="1114"/>
      <c r="L76" s="1114"/>
      <c r="M76" s="1115"/>
      <c r="O76" s="1116" t="str">
        <f>IF(AND(NOT(ISBLANK(H76)),ISBLANK(J76)),"&lt;----Enter units","")</f>
        <v/>
      </c>
      <c r="P76" s="1116"/>
      <c r="Q76" s="1120" t="s">
        <v>897</v>
      </c>
      <c r="R76" s="1120"/>
      <c r="S76" s="1120"/>
      <c r="U76" s="256"/>
      <c r="V76" s="91"/>
    </row>
    <row r="77" spans="1:26" ht="13.5" customHeight="1">
      <c r="A77" s="91"/>
      <c r="B77" s="553" t="s">
        <v>907</v>
      </c>
      <c r="C77" s="1006" t="s">
        <v>919</v>
      </c>
      <c r="D77" s="830" t="s">
        <v>875</v>
      </c>
      <c r="E77" s="568" t="s">
        <v>876</v>
      </c>
      <c r="F77" s="483" t="str">
        <f>'Interactive Data Grading'!D469</f>
        <v/>
      </c>
      <c r="H77" s="326"/>
      <c r="J77" s="270" t="str">
        <f>"$/"&amp;IF('Start Page'!$AB$22="million gallons (US)","Million gallons",IF('Start Page'!$AB$22="Megalitres (thousand cubic metres)","Megalitre",IF('Start Page'!$AB$22="acre-feet","acre-ft","")))</f>
        <v>$/</v>
      </c>
      <c r="K77" s="1121" t="str">
        <f>IF(Z77=1,"&lt;&lt;&lt; Using CRUC as basis for VPC","")</f>
        <v/>
      </c>
      <c r="L77" s="1121"/>
      <c r="M77" s="1121"/>
      <c r="N77" s="1121"/>
      <c r="O77" s="1121"/>
      <c r="P77" s="1122"/>
      <c r="Q77" s="1117"/>
      <c r="R77" s="1118"/>
      <c r="S77" s="1119"/>
      <c r="T77" s="251" t="s">
        <v>908</v>
      </c>
      <c r="U77" s="256"/>
      <c r="V77" s="91"/>
      <c r="Z77" s="46">
        <f>IF('Interactive Data Grading'!D465=VPC!C28,1,0)</f>
        <v>0</v>
      </c>
    </row>
    <row r="78" spans="1:26" ht="2.25" customHeight="1">
      <c r="A78" s="91"/>
      <c r="B78" s="553"/>
      <c r="C78" s="53"/>
      <c r="D78" s="53"/>
      <c r="E78" s="503"/>
      <c r="F78" s="299"/>
      <c r="G78" s="53"/>
      <c r="U78" s="256"/>
      <c r="V78" s="91"/>
    </row>
    <row r="79" spans="1:26" ht="13.5" customHeight="1">
      <c r="A79" s="91"/>
      <c r="B79" s="553"/>
      <c r="C79" s="1108" t="str">
        <f>IF(OR(ISBLANK(J76),ISBLANK(J77),ISBLANK(H77),ISBLANK('Start Page'!AB22)),"",IF(H76*INDEX(Sheet1!B2:D4,MATCH('Start Page'!AB22,Sheet1!A2:A4,0),MATCH(J76,Sheet1!B1:D1,0))/H77&gt;1,"","Retail costs are less than (or equal to) production costs; please review and correct if necessary"))</f>
        <v/>
      </c>
      <c r="D79" s="1108"/>
      <c r="E79" s="1108"/>
      <c r="F79" s="1108"/>
      <c r="G79" s="1108"/>
      <c r="H79" s="1108"/>
      <c r="I79" s="1108"/>
      <c r="J79" s="1108"/>
      <c r="K79" s="1108"/>
      <c r="L79" s="1108"/>
      <c r="M79" s="1108"/>
      <c r="N79" s="1108"/>
      <c r="O79" s="1108"/>
      <c r="P79" s="1108"/>
      <c r="Q79" s="1108"/>
      <c r="U79" s="256"/>
      <c r="V79" s="91"/>
      <c r="W79" s="46" t="str">
        <f>IF(OR(ISBLANK(J76),ISBLANK(J77),ISBLANK(H77)),"",IF(H76*INDEX(Sheet1!B2:D4,MATCH('Start Page'!AB22,Sheet1!A2:A4,0),MATCH(J76,Sheet1!B1:D1,0))/H77&gt;1,0,1))</f>
        <v/>
      </c>
    </row>
    <row r="80" spans="1:26" ht="2.25" customHeight="1">
      <c r="A80" s="91"/>
      <c r="B80" s="553"/>
      <c r="C80" s="262"/>
      <c r="D80" s="262"/>
      <c r="E80" s="513"/>
      <c r="F80" s="263"/>
      <c r="G80" s="262"/>
      <c r="H80" s="85"/>
      <c r="I80" s="85"/>
      <c r="J80" s="85"/>
      <c r="K80" s="85"/>
      <c r="L80" s="85"/>
      <c r="M80" s="85"/>
      <c r="N80" s="85"/>
      <c r="O80" s="85"/>
      <c r="P80" s="85"/>
      <c r="Q80" s="85"/>
      <c r="R80" s="85"/>
      <c r="U80" s="256"/>
      <c r="V80" s="91"/>
    </row>
    <row r="81" spans="1:31" ht="13.95" customHeight="1">
      <c r="A81" s="91"/>
      <c r="B81" s="553"/>
      <c r="C81" s="300"/>
      <c r="D81" s="53"/>
      <c r="E81" s="503"/>
      <c r="F81" s="255"/>
      <c r="G81" s="53"/>
      <c r="H81" s="1123" t="s">
        <v>1265</v>
      </c>
      <c r="I81" s="1123"/>
      <c r="J81" s="1123"/>
      <c r="K81" s="1123"/>
      <c r="L81" s="1123"/>
      <c r="M81" s="1123"/>
      <c r="N81" s="1123"/>
      <c r="O81" s="953" t="s">
        <v>1266</v>
      </c>
      <c r="U81" s="256"/>
      <c r="V81" s="91"/>
    </row>
    <row r="82" spans="1:31" s="56" customFormat="1" ht="21" customHeight="1">
      <c r="A82" s="95"/>
      <c r="B82" s="554"/>
      <c r="C82" s="656" t="s">
        <v>1184</v>
      </c>
      <c r="D82" s="302"/>
      <c r="E82" s="514"/>
      <c r="F82" s="303"/>
      <c r="G82" s="302"/>
      <c r="P82" s="304"/>
      <c r="U82" s="305"/>
      <c r="V82" s="95"/>
      <c r="AB82" s="308"/>
      <c r="AC82" s="308"/>
      <c r="AD82" s="308"/>
      <c r="AE82" s="308"/>
    </row>
    <row r="83" spans="1:31" s="56" customFormat="1" ht="2.25" customHeight="1">
      <c r="A83" s="95"/>
      <c r="B83" s="554"/>
      <c r="C83" s="301"/>
      <c r="D83" s="302"/>
      <c r="E83" s="514"/>
      <c r="F83" s="303"/>
      <c r="G83" s="302"/>
      <c r="H83" s="302"/>
      <c r="P83" s="304"/>
      <c r="U83" s="305"/>
      <c r="V83" s="95"/>
      <c r="AB83" s="308"/>
      <c r="AC83" s="308"/>
      <c r="AD83" s="308"/>
      <c r="AE83" s="308"/>
    </row>
    <row r="84" spans="1:31" s="57" customFormat="1" ht="22.5" customHeight="1">
      <c r="A84" s="96"/>
      <c r="B84" s="554"/>
      <c r="C84" s="111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Click 'g' for 7 parameter(s), then complete all visible data grading questions to enable the Data Validity Score to calculate</v>
      </c>
      <c r="D84" s="1111"/>
      <c r="E84" s="1111"/>
      <c r="F84" s="1111"/>
      <c r="G84" s="1111"/>
      <c r="H84" s="1111"/>
      <c r="I84" s="1111"/>
      <c r="J84" s="1111"/>
      <c r="K84" s="1111"/>
      <c r="L84" s="1111"/>
      <c r="M84" s="1111"/>
      <c r="N84" s="1111"/>
      <c r="O84" s="1111"/>
      <c r="P84" s="1111"/>
      <c r="Q84" s="1111"/>
      <c r="R84" s="1112"/>
      <c r="S84" s="834" t="s">
        <v>1146</v>
      </c>
      <c r="T84" s="306"/>
      <c r="U84" s="307"/>
      <c r="V84" s="96"/>
      <c r="W84" s="63">
        <f>'M36 Refs'!AN118</f>
        <v>7</v>
      </c>
      <c r="X84" s="57" t="str">
        <f>Dashboard!BR4</f>
        <v>N/A*</v>
      </c>
    </row>
    <row r="85" spans="1:31" s="57" customFormat="1" ht="2.25" customHeight="1">
      <c r="A85" s="96"/>
      <c r="B85" s="554"/>
      <c r="C85" s="308"/>
      <c r="D85" s="309"/>
      <c r="E85" s="515"/>
      <c r="F85" s="303"/>
      <c r="G85" s="310"/>
      <c r="H85" s="309"/>
      <c r="P85" s="311"/>
      <c r="U85" s="307"/>
      <c r="V85" s="96"/>
      <c r="W85" s="63"/>
    </row>
    <row r="86" spans="1:31" s="57" customFormat="1" ht="19.5" customHeight="1">
      <c r="A86" s="96"/>
      <c r="B86" s="554"/>
      <c r="C86" s="1109" t="str">
        <f>IF(ISERROR('M36 Refs'!AN118),"",IF('M36 Refs'!AN118&lt;=0,"A weighted scale for the components of supply, consumption and water loss is included in the calculation of the Water Audit Data Validity Score",""))</f>
        <v/>
      </c>
      <c r="D86" s="1109"/>
      <c r="E86" s="1109"/>
      <c r="F86" s="1109"/>
      <c r="G86" s="1109"/>
      <c r="H86" s="1109"/>
      <c r="I86" s="1109"/>
      <c r="J86" s="1109"/>
      <c r="K86" s="1109"/>
      <c r="L86" s="1109"/>
      <c r="M86" s="1109"/>
      <c r="N86" s="1109"/>
      <c r="O86" s="1109"/>
      <c r="P86" s="1109"/>
      <c r="Q86" s="1109"/>
      <c r="R86" s="1109"/>
      <c r="S86" s="308"/>
      <c r="T86" s="308"/>
      <c r="U86" s="307"/>
      <c r="V86" s="96"/>
      <c r="W86" s="63"/>
    </row>
    <row r="87" spans="1:31" s="52" customFormat="1" ht="21.75" customHeight="1">
      <c r="A87" s="97"/>
      <c r="B87" s="554"/>
      <c r="C87" s="605" t="s">
        <v>1150</v>
      </c>
      <c r="D87" s="872"/>
      <c r="E87" s="872"/>
      <c r="F87" s="576"/>
      <c r="G87" s="576"/>
      <c r="H87" s="576"/>
      <c r="I87" s="576"/>
      <c r="J87" s="576"/>
      <c r="K87" s="576"/>
      <c r="L87" s="605" t="s">
        <v>1154</v>
      </c>
      <c r="N87" s="576"/>
      <c r="O87" s="158"/>
      <c r="P87" s="561"/>
      <c r="Q87" s="561"/>
      <c r="R87" s="561"/>
      <c r="S87" s="312"/>
      <c r="T87" s="312"/>
      <c r="U87" s="307"/>
      <c r="V87" s="97"/>
      <c r="AB87" s="57"/>
      <c r="AC87" s="57"/>
      <c r="AD87" s="57"/>
      <c r="AE87" s="57"/>
    </row>
    <row r="88" spans="1:31" s="52" customFormat="1" ht="19.5" customHeight="1">
      <c r="A88" s="97"/>
      <c r="B88" s="554"/>
      <c r="C88" s="847" t="s">
        <v>699</v>
      </c>
      <c r="D88" s="313"/>
      <c r="E88" s="313"/>
      <c r="F88" s="313"/>
      <c r="G88" s="313"/>
      <c r="H88" s="313"/>
      <c r="I88" s="313"/>
      <c r="J88" s="313"/>
      <c r="K88" s="313"/>
      <c r="L88" s="847" t="s">
        <v>1199</v>
      </c>
      <c r="N88" s="313"/>
      <c r="P88" s="313"/>
      <c r="Q88" s="313"/>
      <c r="R88" s="313"/>
      <c r="S88" s="313"/>
      <c r="T88" s="313"/>
      <c r="U88" s="307"/>
      <c r="V88" s="97"/>
      <c r="AB88" s="57"/>
      <c r="AC88" s="57"/>
      <c r="AD88" s="57"/>
      <c r="AE88" s="57"/>
    </row>
    <row r="89" spans="1:31" s="52" customFormat="1" ht="15" customHeight="1">
      <c r="A89" s="97"/>
      <c r="B89" s="554"/>
      <c r="C89" s="494" t="str">
        <f ca="1">IFERROR(IF(ISERROR('M36 Refs'!AN118),"","     1: "&amp;VLOOKUP(1,'M36 Refs'!$AJ$98:$AK$117,2,FALSE)),"")</f>
        <v/>
      </c>
      <c r="D89" s="314"/>
      <c r="E89" s="516"/>
      <c r="F89" s="315"/>
      <c r="G89" s="314"/>
      <c r="R89" s="852" t="s">
        <v>1151</v>
      </c>
      <c r="S89" s="850"/>
      <c r="T89" s="853" t="str">
        <f>Dashboard!AD29</f>
        <v/>
      </c>
      <c r="U89" s="307"/>
      <c r="V89" s="97"/>
      <c r="AB89" s="57"/>
      <c r="AC89" s="57"/>
      <c r="AD89" s="57"/>
      <c r="AE89" s="57"/>
    </row>
    <row r="90" spans="1:31" s="52" customFormat="1" ht="15" customHeight="1">
      <c r="A90" s="97"/>
      <c r="B90" s="554"/>
      <c r="C90" s="494" t="str">
        <f ca="1">IFERROR(IF(ISERROR('M36 Refs'!AN118),"","     2: "&amp;VLOOKUP(2,'M36 Refs'!$AJ$98:$AK$117,2,FALSE)),"")</f>
        <v/>
      </c>
      <c r="D90" s="314"/>
      <c r="E90" s="516"/>
      <c r="F90" s="315"/>
      <c r="G90" s="314"/>
      <c r="R90" s="852" t="s">
        <v>1152</v>
      </c>
      <c r="S90" s="850"/>
      <c r="T90" s="854" t="str">
        <f>Dashboard!AN29</f>
        <v/>
      </c>
      <c r="U90" s="307"/>
      <c r="V90" s="97"/>
      <c r="AB90" s="57"/>
      <c r="AC90" s="57"/>
      <c r="AD90" s="57"/>
      <c r="AE90" s="57"/>
    </row>
    <row r="91" spans="1:31" s="52" customFormat="1" ht="15" customHeight="1">
      <c r="A91" s="97"/>
      <c r="B91" s="554"/>
      <c r="C91" s="494" t="str">
        <f ca="1">IFERROR(IF(ISERROR('M36 Refs'!AN118),"","     3: "&amp;VLOOKUP(3,'M36 Refs'!$AJ$98:$AK$117,2,FALSE)),"")</f>
        <v/>
      </c>
      <c r="D91" s="314"/>
      <c r="E91" s="516"/>
      <c r="F91" s="315"/>
      <c r="G91" s="314"/>
      <c r="R91" s="852" t="s">
        <v>1174</v>
      </c>
      <c r="S91" s="850"/>
      <c r="T91" s="853" t="str">
        <f>Dashboard!AX29</f>
        <v/>
      </c>
      <c r="U91" s="307"/>
      <c r="V91" s="97"/>
      <c r="AB91" s="57"/>
      <c r="AC91" s="57"/>
      <c r="AD91" s="57"/>
      <c r="AE91" s="57"/>
    </row>
    <row r="92" spans="1:31" s="52" customFormat="1" ht="15" customHeight="1">
      <c r="A92" s="97"/>
      <c r="B92" s="554"/>
      <c r="C92" s="301"/>
      <c r="D92" s="314"/>
      <c r="E92" s="516"/>
      <c r="F92" s="315"/>
      <c r="G92" s="314"/>
      <c r="R92" s="852" t="s">
        <v>1175</v>
      </c>
      <c r="S92" s="851"/>
      <c r="T92" s="853" t="str">
        <f>Dashboard!AV41</f>
        <v/>
      </c>
      <c r="U92" s="307"/>
      <c r="V92" s="97"/>
      <c r="AB92" s="57"/>
      <c r="AC92" s="57"/>
      <c r="AD92" s="57"/>
      <c r="AE92" s="57"/>
    </row>
    <row r="93" spans="1:31" s="52" customFormat="1" ht="15" customHeight="1">
      <c r="A93" s="97"/>
      <c r="B93" s="554"/>
      <c r="C93" s="301"/>
      <c r="D93" s="314"/>
      <c r="E93" s="516"/>
      <c r="F93" s="315"/>
      <c r="G93" s="314"/>
      <c r="M93" s="52" t="s">
        <v>1183</v>
      </c>
      <c r="U93" s="307"/>
      <c r="V93" s="97"/>
      <c r="AB93" s="57"/>
      <c r="AC93" s="57"/>
      <c r="AD93" s="57"/>
      <c r="AE93" s="57"/>
    </row>
    <row r="94" spans="1:31" s="52" customFormat="1" ht="14.25" customHeight="1" thickBot="1">
      <c r="A94" s="97"/>
      <c r="B94" s="555"/>
      <c r="C94" s="316"/>
      <c r="D94" s="317"/>
      <c r="E94" s="517"/>
      <c r="F94" s="318"/>
      <c r="G94" s="317"/>
      <c r="H94" s="319"/>
      <c r="I94" s="319"/>
      <c r="J94" s="319"/>
      <c r="K94" s="319"/>
      <c r="L94" s="319"/>
      <c r="M94" s="871"/>
      <c r="N94" s="319"/>
      <c r="O94" s="319"/>
      <c r="P94" s="319"/>
      <c r="Q94" s="319"/>
      <c r="R94" s="319"/>
      <c r="S94" s="319"/>
      <c r="T94" s="319"/>
      <c r="U94" s="320"/>
      <c r="V94" s="97"/>
      <c r="AB94" s="57"/>
      <c r="AC94" s="57"/>
      <c r="AD94" s="57"/>
      <c r="AE94" s="57"/>
    </row>
    <row r="95" spans="1:31" s="52" customFormat="1" ht="6.75" customHeight="1" thickTop="1">
      <c r="A95" s="97"/>
      <c r="B95" s="556"/>
      <c r="C95" s="97"/>
      <c r="D95" s="97"/>
      <c r="E95" s="518"/>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57"/>
      <c r="C96" s="50"/>
      <c r="D96" s="50"/>
      <c r="E96" s="519"/>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57"/>
      <c r="C97" s="50"/>
      <c r="D97" s="50"/>
      <c r="E97" s="519"/>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57"/>
      <c r="C98" s="50"/>
      <c r="D98" s="50"/>
      <c r="E98" s="519"/>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algorithmName="SHA-512" hashValue="BlUgNyPXrUZpBlbGjRa/H8xcAc31STMmqeJzfZa0LK3dmY4rEIv/tZ6t8l2TxJh8JRQ0wmPH7UHqEL9+bA9yug==" saltValue="cyMJNaEiAK5gjMfNq/dv1Q==" spinCount="100000" sheet="1" objects="1" scenarios="1"/>
  <mergeCells count="38">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H81:N81"/>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7" priority="122" stopIfTrue="1">
      <formula>"M22=0"</formula>
    </cfRule>
  </conditionalFormatting>
  <conditionalFormatting sqref="C7">
    <cfRule type="expression" dxfId="186" priority="210" stopIfTrue="1">
      <formula>H12=""=TRUE</formula>
    </cfRule>
  </conditionalFormatting>
  <conditionalFormatting sqref="C44">
    <cfRule type="expression" dxfId="185" priority="226" stopIfTrue="1">
      <formula>AND(NOT($F$39="n/a"),OR(ISBLANK($H$39),$H$39=0),$H$19&lt;&gt;0)</formula>
    </cfRule>
    <cfRule type="expression" dxfId="184" priority="225" stopIfTrue="1">
      <formula>$W$39=1</formula>
    </cfRule>
  </conditionalFormatting>
  <conditionalFormatting sqref="C66">
    <cfRule type="expression" dxfId="183" priority="214" stopIfTrue="1">
      <formula>$W$65=1</formula>
    </cfRule>
  </conditionalFormatting>
  <conditionalFormatting sqref="C79:Q79">
    <cfRule type="expression" dxfId="182" priority="167" stopIfTrue="1">
      <formula>$W$79=1</formula>
    </cfRule>
  </conditionalFormatting>
  <conditionalFormatting sqref="F15:F17">
    <cfRule type="expression" dxfId="181" priority="75">
      <formula>F15&lt;&gt;""</formula>
    </cfRule>
  </conditionalFormatting>
  <conditionalFormatting sqref="F23:F26">
    <cfRule type="expression" dxfId="180" priority="68">
      <formula>F23&lt;&gt;""</formula>
    </cfRule>
  </conditionalFormatting>
  <conditionalFormatting sqref="F39">
    <cfRule type="expression" dxfId="179" priority="65">
      <formula>F39&lt;&gt;""</formula>
    </cfRule>
  </conditionalFormatting>
  <conditionalFormatting sqref="F41">
    <cfRule type="expression" dxfId="178" priority="66">
      <formula>F41&lt;&gt;""</formula>
    </cfRule>
  </conditionalFormatting>
  <conditionalFormatting sqref="F43">
    <cfRule type="expression" dxfId="177" priority="67">
      <formula>F43&lt;&gt;""</formula>
    </cfRule>
  </conditionalFormatting>
  <conditionalFormatting sqref="F61:F62">
    <cfRule type="expression" dxfId="176" priority="63">
      <formula>F61&lt;&gt;""</formula>
    </cfRule>
  </conditionalFormatting>
  <conditionalFormatting sqref="F66">
    <cfRule type="expression" dxfId="175" priority="62">
      <formula>F66&lt;&gt;""</formula>
    </cfRule>
  </conditionalFormatting>
  <conditionalFormatting sqref="F68">
    <cfRule type="expression" dxfId="174" priority="61">
      <formula>F68&lt;&gt;""</formula>
    </cfRule>
  </conditionalFormatting>
  <conditionalFormatting sqref="F75:F77">
    <cfRule type="expression" dxfId="173" priority="58">
      <formula>F75&lt;&gt;""</formula>
    </cfRule>
  </conditionalFormatting>
  <conditionalFormatting sqref="G29">
    <cfRule type="expression" dxfId="172" priority="162" stopIfTrue="1">
      <formula>$W$26=2</formula>
    </cfRule>
  </conditionalFormatting>
  <conditionalFormatting sqref="G85">
    <cfRule type="expression" dxfId="171" priority="121" stopIfTrue="1">
      <formula>"B106=0"</formula>
    </cfRule>
  </conditionalFormatting>
  <conditionalFormatting sqref="H19">
    <cfRule type="expression" dxfId="170" priority="2">
      <formula>$H$19="Select under/over"</formula>
    </cfRule>
  </conditionalFormatting>
  <conditionalFormatting sqref="H41">
    <cfRule type="expression" dxfId="169" priority="1">
      <formula>$H$41="Select under/over"</formula>
    </cfRule>
  </conditionalFormatting>
  <conditionalFormatting sqref="H66">
    <cfRule type="expression" dxfId="168" priority="83" stopIfTrue="1">
      <formula>$H$65="Yes"</formula>
    </cfRule>
  </conditionalFormatting>
  <conditionalFormatting sqref="H77:J77">
    <cfRule type="expression" dxfId="167" priority="268">
      <formula>$Z$77=1</formula>
    </cfRule>
  </conditionalFormatting>
  <conditionalFormatting sqref="J66:L66">
    <cfRule type="expression" dxfId="166" priority="212" stopIfTrue="1">
      <formula>$H$65="Yes"</formula>
    </cfRule>
  </conditionalFormatting>
  <conditionalFormatting sqref="K15:K17">
    <cfRule type="expression" dxfId="165" priority="6">
      <formula>H15&gt;0</formula>
    </cfRule>
  </conditionalFormatting>
  <conditionalFormatting sqref="K16:L16">
    <cfRule type="expression" dxfId="164" priority="7">
      <formula>G16&gt;0</formula>
    </cfRule>
  </conditionalFormatting>
  <conditionalFormatting sqref="L15">
    <cfRule type="expression" dxfId="163" priority="9">
      <formula>H15&gt;0</formula>
    </cfRule>
  </conditionalFormatting>
  <conditionalFormatting sqref="L17">
    <cfRule type="expression" dxfId="162" priority="5">
      <formula>H17&gt;0</formula>
    </cfRule>
  </conditionalFormatting>
  <conditionalFormatting sqref="M15:M17">
    <cfRule type="expression" dxfId="161" priority="72">
      <formula>M15&lt;&gt;""</formula>
    </cfRule>
    <cfRule type="expression" dxfId="160" priority="19">
      <formula>H15=0</formula>
    </cfRule>
  </conditionalFormatting>
  <conditionalFormatting sqref="M66">
    <cfRule type="expression" dxfId="159" priority="78">
      <formula>$W$65=1</formula>
    </cfRule>
  </conditionalFormatting>
  <conditionalFormatting sqref="O15:O17">
    <cfRule type="expression" dxfId="158" priority="36">
      <formula>AND(H15&gt;0,W15=1)</formula>
    </cfRule>
  </conditionalFormatting>
  <conditionalFormatting sqref="O26 O39 O43">
    <cfRule type="expression" dxfId="157" priority="27">
      <formula>W26=1</formula>
    </cfRule>
  </conditionalFormatting>
  <conditionalFormatting sqref="O41">
    <cfRule type="expression" dxfId="156" priority="25">
      <formula>W41=1</formula>
    </cfRule>
  </conditionalFormatting>
  <conditionalFormatting sqref="O76:P76">
    <cfRule type="expression" dxfId="155" priority="4" stopIfTrue="1">
      <formula>AND(NOT(ISBLANK($H$76)),ISBLANK($J$76))</formula>
    </cfRule>
  </conditionalFormatting>
  <conditionalFormatting sqref="P13">
    <cfRule type="expression" dxfId="154" priority="22">
      <formula>OR(H15&gt;0,H16&gt;0,H17&gt;0)</formula>
    </cfRule>
  </conditionalFormatting>
  <conditionalFormatting sqref="P15:P17">
    <cfRule type="expression" dxfId="153" priority="23">
      <formula>H15&gt;0</formula>
    </cfRule>
  </conditionalFormatting>
  <conditionalFormatting sqref="Q15:R17">
    <cfRule type="expression" dxfId="152" priority="224">
      <formula>AND(H15&gt;0,W15=2)</formula>
    </cfRule>
  </conditionalFormatting>
  <conditionalFormatting sqref="Q26:R26 Q39:R39 Q43:R43">
    <cfRule type="expression" dxfId="151" priority="26">
      <formula>W26=2</formula>
    </cfRule>
  </conditionalFormatting>
  <conditionalFormatting sqref="Q41:R41">
    <cfRule type="expression" dxfId="150" priority="24">
      <formula>W41=2</formula>
    </cfRule>
  </conditionalFormatting>
  <conditionalFormatting sqref="S15:S17">
    <cfRule type="expression" dxfId="149" priority="21">
      <formula>AND(H15&gt;0,W15=2)</formula>
    </cfRule>
  </conditionalFormatting>
  <conditionalFormatting sqref="S26 S39 S41 S43">
    <cfRule type="expression" dxfId="148" priority="18">
      <formula>W26=2</formula>
    </cfRule>
  </conditionalFormatting>
  <conditionalFormatting sqref="S47:S48 AA48">
    <cfRule type="expression" dxfId="147" priority="227">
      <formula>OR($X$41=-1,$Y$39=1)</formula>
    </cfRule>
  </conditionalFormatting>
  <conditionalFormatting sqref="T15">
    <cfRule type="expression" dxfId="146" priority="16">
      <formula>$AC$15="yes"</formula>
    </cfRule>
  </conditionalFormatting>
  <conditionalFormatting sqref="T16">
    <cfRule type="expression" dxfId="145" priority="15">
      <formula>$AC$16="yes"</formula>
    </cfRule>
  </conditionalFormatting>
  <conditionalFormatting sqref="T17">
    <cfRule type="expression" dxfId="144" priority="14">
      <formula>$AC$17="yes"</formula>
    </cfRule>
  </conditionalFormatting>
  <conditionalFormatting sqref="T18:T23">
    <cfRule type="expression" dxfId="143"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72:J72" display="Volume from Own Sources:" xr:uid="{00000000-0004-0000-1500-000000000000}"/>
    <hyperlink ref="C30" location="Definitions!C8:J8" display="AUTHORIZED CONSUMPTION:" xr:uid="{1BBF6410-1E47-46C3-B595-8DF830477C8A}"/>
    <hyperlink ref="C16" location="Definitions!C80:L80" display="Water Imported:" xr:uid="{B9D359A5-051B-4456-90D4-EF0EBB8A51A2}"/>
    <hyperlink ref="C17" location="Definitions!C76:L76"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54:L54" display="Unbilled Metered:" xr:uid="{06DFD437-5623-4ADE-BD52-2353746112BC}"/>
    <hyperlink ref="C26" location="Definitions!C56:L56" display="Unbilled Unmetered:" xr:uid="{DC909674-4260-47D8-B348-C2F8B85626AF}"/>
    <hyperlink ref="C43" location="Definitions!C47:L47" display="Unauthorized Consumption:" xr:uid="{89583EC8-B21D-4A77-80E7-9B0A973974F2}"/>
    <hyperlink ref="C41" location="Definitions!C20:L20" display="Customer Metering Inaccuracies:" xr:uid="{C9AF4F40-B570-4134-B7FE-4A63C550884D}"/>
    <hyperlink ref="C39" location="Definitions!C41:L41"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9:L39"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70:L70" display="Variable Production Cost:"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5:L45"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84:L85"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 ref="O81" location="'Carbon Calculations'!C4" display="carbon" xr:uid="{E395D1F8-7527-43A6-9A71-0A7AD20EC92D}"/>
    <hyperlink ref="C53:F53" location="Definitions!C87:L87" display="WATER LOSSES:" xr:uid="{6DA2A6BD-D2A1-4753-B591-8AAD045124A5}"/>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workbookViewId="0">
      <pane ySplit="4" topLeftCell="A5" activePane="bottomLeft" state="frozen"/>
      <selection pane="bottomLeft" activeCell="C5" sqref="C5:D5"/>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45" customWidth="1"/>
    <col min="6" max="6" width="1.88671875" style="214" hidden="1" customWidth="1"/>
    <col min="7" max="7" width="4.44140625" style="799" hidden="1" customWidth="1"/>
    <col min="8" max="8" width="10.44140625" style="799" hidden="1" customWidth="1"/>
    <col min="9" max="9" width="12.109375" style="800" hidden="1" customWidth="1"/>
    <col min="10" max="10" width="18.109375" style="799" hidden="1" customWidth="1"/>
    <col min="11" max="18" width="8.88671875" style="799" hidden="1" customWidth="1"/>
    <col min="19" max="19" width="4.5546875" style="214" hidden="1" customWidth="1"/>
    <col min="20" max="26" width="8.88671875" style="214" hidden="1" customWidth="1"/>
    <col min="27" max="16384" width="8.88671875" style="214"/>
  </cols>
  <sheetData>
    <row r="1" spans="1:20" ht="15" customHeight="1">
      <c r="A1" s="601"/>
      <c r="B1" s="896" t="str">
        <f>IF(ISBLANK('Start Page'!AB9),"Enter info on Start Page",'Start Page'!AB9&amp;IF(ISBLANK('Start Page'!AM28),"","  ("&amp;'Start Page'!AM28&amp;")"))</f>
        <v>Enter info on Start Page</v>
      </c>
      <c r="C1" s="601"/>
      <c r="D1" s="602"/>
      <c r="E1" s="881" t="s">
        <v>1147</v>
      </c>
    </row>
    <row r="2" spans="1:20" ht="30.6" customHeight="1">
      <c r="A2" s="460"/>
      <c r="B2" s="880" t="str">
        <f>IF(ISBLANK('Start Page'!AB18),"",'Start Page'!AB18)</f>
        <v/>
      </c>
      <c r="C2" s="460"/>
      <c r="D2" s="460"/>
      <c r="E2" s="1152" t="s">
        <v>1216</v>
      </c>
    </row>
    <row r="3" spans="1:20" ht="38.25" customHeight="1">
      <c r="A3" s="460"/>
      <c r="B3" s="836"/>
      <c r="C3" s="460"/>
      <c r="D3" s="460"/>
      <c r="E3" s="1153"/>
    </row>
    <row r="4" spans="1:20" ht="1.35" customHeight="1"/>
    <row r="5" spans="1:20" s="461" customFormat="1" ht="16.350000000000001" customHeight="1">
      <c r="A5" s="1146" t="s">
        <v>1125</v>
      </c>
      <c r="B5" s="1147"/>
      <c r="C5" s="1148" t="s">
        <v>321</v>
      </c>
      <c r="D5" s="1148"/>
      <c r="E5" s="881" t="s">
        <v>1126</v>
      </c>
      <c r="G5" s="801"/>
      <c r="H5" s="801"/>
      <c r="I5" s="802"/>
      <c r="J5" s="801"/>
      <c r="K5" s="801"/>
      <c r="L5" s="801"/>
      <c r="M5" s="801"/>
      <c r="N5" s="801"/>
      <c r="O5" s="801"/>
      <c r="P5" s="801"/>
      <c r="Q5" s="801"/>
      <c r="R5" s="801"/>
    </row>
    <row r="6" spans="1:20" ht="14.4" customHeight="1">
      <c r="A6" s="215"/>
      <c r="B6" s="215"/>
      <c r="C6" s="1149" t="str">
        <f>IF(OR(AND(D8="Yes",Worksheet!H15&gt;0),AND(D8="No",Worksheet!H15&lt;=0),LEN(D8)=0),"","Inconsistency between Worksheet VOS input and vos.0 response")</f>
        <v/>
      </c>
      <c r="D6" s="1149"/>
      <c r="E6" s="744"/>
      <c r="F6" s="327"/>
      <c r="H6" s="803"/>
      <c r="I6" s="803"/>
      <c r="P6" s="815" t="s">
        <v>649</v>
      </c>
      <c r="T6" s="214" t="s">
        <v>1243</v>
      </c>
    </row>
    <row r="7" spans="1:20" s="567" customFormat="1" ht="12">
      <c r="A7" s="563"/>
      <c r="B7" s="564" t="s">
        <v>309</v>
      </c>
      <c r="C7" s="565" t="s">
        <v>298</v>
      </c>
      <c r="D7" s="565" t="s">
        <v>655</v>
      </c>
      <c r="E7" s="743"/>
      <c r="F7" s="566"/>
      <c r="G7" s="804"/>
      <c r="H7" s="805" t="s">
        <v>297</v>
      </c>
      <c r="I7" s="805" t="s">
        <v>290</v>
      </c>
      <c r="J7" s="804" t="s">
        <v>786</v>
      </c>
      <c r="K7" s="804"/>
      <c r="L7" s="804"/>
      <c r="M7" s="804"/>
      <c r="N7" s="804"/>
      <c r="O7" s="804"/>
      <c r="P7" s="823" t="str">
        <f>VOS!C23</f>
        <v>&lt;25%</v>
      </c>
      <c r="Q7" s="824">
        <v>0</v>
      </c>
      <c r="R7" s="804" t="e">
        <f>VLOOKUP(D9,$P$7:$Q$15,2,FALSE)</f>
        <v>#N/A</v>
      </c>
      <c r="S7" s="567" t="s">
        <v>901</v>
      </c>
      <c r="T7" s="567">
        <v>1</v>
      </c>
    </row>
    <row r="8" spans="1:20" ht="20.100000000000001" customHeight="1">
      <c r="A8" s="215"/>
      <c r="B8" s="546" t="s">
        <v>432</v>
      </c>
      <c r="C8" s="873" t="str">
        <f>VOS!B34</f>
        <v>Did the water utility supply any water from its own sources during the audit year?</v>
      </c>
      <c r="D8" s="329"/>
      <c r="E8" s="743"/>
      <c r="F8" s="327"/>
      <c r="I8" s="806"/>
      <c r="J8" s="799" t="s">
        <v>785</v>
      </c>
      <c r="P8" s="825" t="str">
        <f>VOS!C24</f>
        <v>25-50%</v>
      </c>
      <c r="Q8" s="826">
        <v>0</v>
      </c>
      <c r="R8" s="799" t="e">
        <f>VLOOKUP(D63,$P$7:$Q$15,2,FALSE)</f>
        <v>#N/A</v>
      </c>
      <c r="S8" s="214" t="s">
        <v>902</v>
      </c>
      <c r="T8" s="214">
        <v>2</v>
      </c>
    </row>
    <row r="9" spans="1:20" ht="17.850000000000001" customHeight="1">
      <c r="A9" s="215"/>
      <c r="B9" s="546" t="s">
        <v>299</v>
      </c>
      <c r="C9" s="873" t="str">
        <f>VOS!B35</f>
        <v>What percent of own supply volume is metered?</v>
      </c>
      <c r="D9" s="329"/>
      <c r="E9" s="743" t="str">
        <f>IF(OR(D20=10,NOT(ISNUMBER(D20))),"",IF(I9=I20,"Limiting",IF(VLOOKUP(D9,$P$7:$Q$15,2,FALSE)=0,"Limiting","")))</f>
        <v/>
      </c>
      <c r="F9" s="327"/>
      <c r="G9" s="799">
        <f>IF(LEN(D9)&gt;0,1,0)</f>
        <v>0</v>
      </c>
      <c r="H9" s="807" t="e">
        <f>VLOOKUP('Interactive Data Grading'!D9,VOS!$C$6:$M$16,11,FALSE)</f>
        <v>#N/A</v>
      </c>
      <c r="I9" s="807" t="e">
        <f>H9</f>
        <v>#N/A</v>
      </c>
      <c r="P9" s="825" t="str">
        <f>VOS!C25</f>
        <v>&gt;50-75%</v>
      </c>
      <c r="Q9" s="826">
        <v>0</v>
      </c>
      <c r="R9" s="799" t="e">
        <f>VLOOKUP(D116,$P$7:$Q$15,2,FALSE)</f>
        <v>#N/A</v>
      </c>
      <c r="S9" s="214" t="s">
        <v>903</v>
      </c>
      <c r="T9" s="214">
        <v>3</v>
      </c>
    </row>
    <row r="10" spans="1:20" ht="69" customHeight="1">
      <c r="A10" s="215"/>
      <c r="C10" s="1157" t="s">
        <v>1217</v>
      </c>
      <c r="D10" s="1158"/>
      <c r="E10" s="743"/>
      <c r="F10" s="327"/>
      <c r="H10" s="807"/>
      <c r="I10" s="807"/>
      <c r="P10" s="825"/>
      <c r="Q10" s="826"/>
      <c r="T10" s="214">
        <v>4</v>
      </c>
    </row>
    <row r="11" spans="1:20" ht="20.100000000000001" customHeight="1">
      <c r="A11" s="215"/>
      <c r="B11" s="546" t="s">
        <v>300</v>
      </c>
      <c r="C11" s="873" t="str">
        <f>VOS!B36</f>
        <v>What is the frequency of electronic calibration?</v>
      </c>
      <c r="D11" s="329"/>
      <c r="E11" s="743" t="str">
        <f>IFERROR(IF(OR(D20=10,NOT(ISNUMBER(D20))),"",IF(I11=I20,"Limiting","")),"")</f>
        <v/>
      </c>
      <c r="F11" s="327"/>
      <c r="G11" s="799" t="str">
        <f>IFERROR(IF(H9&lt;7,1,IF(LEN(D11)&gt;0,1,0)),"")</f>
        <v/>
      </c>
      <c r="H11" s="807" t="e">
        <f>VLOOKUP('Interactive Data Grading'!D11,VOS!$D$6:$M$16,10,FALSE)</f>
        <v>#N/A</v>
      </c>
      <c r="I11" s="808" t="e">
        <f>IF(AND(H11&gt;=7,H14&gt;=7),MAX(H11,9),IF(AND(H11&gt;3,H11&lt;7,H14&gt;3,H14&lt;7),MAX(H11,H14),IF(H14&gt;=7,MAX(7,H11),H11)))</f>
        <v>#N/A</v>
      </c>
      <c r="P11" s="825" t="str">
        <f>VOS!C26</f>
        <v>&gt;75% - 90%</v>
      </c>
      <c r="Q11" s="826">
        <v>0</v>
      </c>
    </row>
    <row r="12" spans="1:20" ht="22.5" customHeight="1">
      <c r="A12" s="215"/>
      <c r="B12" s="546" t="s">
        <v>301</v>
      </c>
      <c r="C12" s="873" t="str">
        <f>VOS!B37</f>
        <v>What level of data transfer errors are checked as part of the electronic calibration process?</v>
      </c>
      <c r="D12" s="334"/>
      <c r="E12" s="743" t="str">
        <f t="shared" ref="E12:E13" si="0">IFERROR(IF(OR($D$20=10,NOT(ISNUMBER($D$20))),"",IF(I12=$I$20,"Limiting","")),"")</f>
        <v/>
      </c>
      <c r="F12" s="327"/>
      <c r="G12" s="799" t="str">
        <f>IFERROR(IF(H9&lt;7,1,IF(OR(D11=VOS!D23,D11=VOS!D27),1,IF(LEN(D12)&gt;0,1,0))),"")</f>
        <v/>
      </c>
      <c r="H12" s="807" t="e">
        <f>VLOOKUP('Interactive Data Grading'!D12,VOS!$E$6:$M$16,9,FALSE)</f>
        <v>#N/A</v>
      </c>
      <c r="I12" s="807" t="e">
        <f>IF(D11=VOS!$D$23,NA(),H12)</f>
        <v>#N/A</v>
      </c>
      <c r="J12" s="799" t="s">
        <v>300</v>
      </c>
      <c r="P12" s="825"/>
      <c r="Q12" s="826"/>
    </row>
    <row r="13" spans="1:20" ht="20.100000000000001" customHeight="1">
      <c r="A13" s="215"/>
      <c r="B13" s="546" t="s">
        <v>302</v>
      </c>
      <c r="C13" s="873" t="str">
        <f>VOS!B38</f>
        <v>Is the most recent electronic calibration documentation available for review?</v>
      </c>
      <c r="D13" s="329"/>
      <c r="E13" s="743" t="str">
        <f t="shared" si="0"/>
        <v/>
      </c>
      <c r="F13" s="327"/>
      <c r="G13" s="809" t="str">
        <f>IFERROR(IF(H9&lt;7,1,IF(OR(D11=VOS!D23,D11=VOS!D27),1,IF(LEN(D13)&gt;0,1,0))),"")</f>
        <v/>
      </c>
      <c r="H13" s="807" t="e">
        <f>VLOOKUP('Interactive Data Grading'!D13,VOS!$F$6:$M$16,8,FALSE)</f>
        <v>#N/A</v>
      </c>
      <c r="I13" s="808" t="e" cm="1">
        <f t="array" ref="I13">IF(D11=VOS!D23,X,IF(AND(H13=5,H15=10),7,H13))</f>
        <v>#N/A</v>
      </c>
      <c r="J13" s="799" t="s">
        <v>300</v>
      </c>
      <c r="P13" s="907" t="str">
        <f>VOS!C27</f>
        <v>&gt;90% - 95%</v>
      </c>
      <c r="Q13" s="908">
        <v>1</v>
      </c>
    </row>
    <row r="14" spans="1:20" ht="20.25" customHeight="1">
      <c r="A14" s="215"/>
      <c r="B14" s="546" t="s">
        <v>303</v>
      </c>
      <c r="C14" s="873" t="str">
        <f>VOS!B39</f>
        <v>What is the frequency of in-situ flow accuracy testing?</v>
      </c>
      <c r="D14" s="329"/>
      <c r="E14" s="743" t="str">
        <f t="shared" ref="E14:E19" si="1">IFERROR(IF(OR($D$20=10,NOT(ISNUMBER($D$20))),"",IF(I14=$I$20,"Limiting","")),"")</f>
        <v/>
      </c>
      <c r="F14" s="327"/>
      <c r="G14" s="799" t="str">
        <f>IF(D13=VOS!F23,1,IFERROR(IF(H9&lt;7,1,IF(LEN(D14)&gt;0,1,0)),""))</f>
        <v/>
      </c>
      <c r="H14" s="807" t="e">
        <f>VLOOKUP('Interactive Data Grading'!D14,VOS!$G$6:$M$16,7,FALSE)</f>
        <v>#N/A</v>
      </c>
      <c r="I14" s="808" t="e">
        <f>IF(AND(H11&gt;=7,H14&gt;=7),MAX(H14,9),IF(AND(H11&gt;3,H11&lt;7,H14&gt;3,H14&lt;7),MAX(H11,H14),IF(H11&gt;=7,MAX(7,H14),H14)))</f>
        <v>#N/A</v>
      </c>
      <c r="P14" s="907" t="str">
        <f>VOS!C28</f>
        <v>&gt;95 - 99%</v>
      </c>
      <c r="Q14" s="908">
        <v>1</v>
      </c>
    </row>
    <row r="15" spans="1:20" ht="26.1" customHeight="1">
      <c r="A15" s="215"/>
      <c r="B15" s="546" t="s">
        <v>304</v>
      </c>
      <c r="C15" s="873" t="str">
        <f>VOS!B40</f>
        <v>Is the most recent in-situ flow accuracy testing documentation available for review?</v>
      </c>
      <c r="D15" s="329"/>
      <c r="E15" s="743" t="str">
        <f t="shared" si="1"/>
        <v/>
      </c>
      <c r="F15" s="327"/>
      <c r="G15" s="799" t="str">
        <f>IFERROR(IF(H9&lt;7,1,IF(D14=VOS!G23,1,IF(LEN(D15)&gt;0,1,0))),"")</f>
        <v/>
      </c>
      <c r="H15" s="807" t="e">
        <f>VLOOKUP('Interactive Data Grading'!D15,VOS!$H$6:$M$16,6,FALSE)</f>
        <v>#N/A</v>
      </c>
      <c r="I15" s="808" t="e">
        <f>IF(D14=VOS!G23,X,IF(AND(H15=5,H13=10),7,H15))</f>
        <v>#N/A</v>
      </c>
      <c r="J15" s="799" t="s">
        <v>302</v>
      </c>
      <c r="P15" s="909" t="s">
        <v>287</v>
      </c>
      <c r="Q15" s="910">
        <v>1</v>
      </c>
    </row>
    <row r="16" spans="1:20" ht="23.85" customHeight="1">
      <c r="A16" s="215"/>
      <c r="B16" s="546" t="s">
        <v>305</v>
      </c>
      <c r="C16" s="873" t="str">
        <f>VOS!B41</f>
        <v>What are the total volume-weighted average results of in-situ flow accuracy testing (during or closest to audit year)?</v>
      </c>
      <c r="D16" s="329"/>
      <c r="E16" s="743" t="str">
        <f t="shared" si="1"/>
        <v/>
      </c>
      <c r="F16" s="327"/>
      <c r="G16" s="799" t="str">
        <f>IFERROR(IF(H9&lt;7,1,IF(OR(D14=VOS!D23,D15=VOS!H23),1,IF(LEN(D16)&gt;0,1,0))),"")</f>
        <v/>
      </c>
      <c r="H16" s="807" t="e">
        <f>VLOOKUP('Interactive Data Grading'!D16,VOS!$I$6:$M$16,5,FALSE)</f>
        <v>#N/A</v>
      </c>
      <c r="I16" s="808" t="e">
        <f>IF(OR(D14=VOS!D23,D15=VOS!H23),X,H16)</f>
        <v>#N/A</v>
      </c>
      <c r="J16" s="799" t="s">
        <v>784</v>
      </c>
    </row>
    <row r="17" spans="1:18" ht="32.85" customHeight="1">
      <c r="A17" s="215"/>
      <c r="B17" s="546" t="s">
        <v>306</v>
      </c>
      <c r="C17" s="873" t="str">
        <f>VOS!B42</f>
        <v>Have testing and calibration procedures been closely scrutinized for compliance with procedures described in the AWWA M36 and/or M33 Manual(s)?</v>
      </c>
      <c r="D17" s="329"/>
      <c r="E17" s="743" t="str">
        <f t="shared" si="1"/>
        <v/>
      </c>
      <c r="F17" s="327"/>
      <c r="G17" s="799" t="str">
        <f>IFERROR(IF(H9&lt;7,1,IF(AND(OR(D11=VOS!D23,D11=VOS!D27),D14=VOS!G23),1,IF(LEN(D17)&gt;0,1,0))),"")</f>
        <v/>
      </c>
      <c r="H17" s="807" t="e">
        <f>VLOOKUP('Interactive Data Grading'!D17,VOS!$J$6:$M$16,4,FALSE)</f>
        <v>#N/A</v>
      </c>
      <c r="I17" s="808" t="e">
        <f>IF(OR(D14=VOS!D23,D15=VOS!H23),X,H17)</f>
        <v>#N/A</v>
      </c>
      <c r="J17" s="809" t="s">
        <v>873</v>
      </c>
    </row>
    <row r="18" spans="1:18" ht="22.35" customHeight="1">
      <c r="A18" s="215"/>
      <c r="B18" s="546" t="s">
        <v>307</v>
      </c>
      <c r="C18" s="873" t="str">
        <f>VOS!B43</f>
        <v>Which best describes the frequency of finished water meter readings?</v>
      </c>
      <c r="D18" s="329"/>
      <c r="E18" s="743" t="str">
        <f t="shared" si="1"/>
        <v/>
      </c>
      <c r="F18" s="327"/>
      <c r="G18" s="799" t="str">
        <f>IFERROR(IF(H9&lt;7,1,IF(LEN(D18)&gt;0,1,0)),"")</f>
        <v/>
      </c>
      <c r="H18" s="807" t="e">
        <f>VLOOKUP('Interactive Data Grading'!D18,VOS!$K$6:$M$16,3,FALSE)</f>
        <v>#N/A</v>
      </c>
      <c r="I18" s="807" t="e">
        <f>H18</f>
        <v>#N/A</v>
      </c>
    </row>
    <row r="19" spans="1:18" ht="37.35" customHeight="1">
      <c r="A19" s="215"/>
      <c r="B19" s="546" t="s">
        <v>787</v>
      </c>
      <c r="C19" s="873" t="str">
        <f>VOS!B44</f>
        <v>Which best describes the frequency of data review for anomalies/errors? These can include numbers that are outside of typical patterns, and zero or 'null' values that may reflect a gap in data recording.</v>
      </c>
      <c r="D19" s="329"/>
      <c r="E19" s="743" t="str">
        <f t="shared" si="1"/>
        <v/>
      </c>
      <c r="F19" s="327"/>
      <c r="G19" s="799" t="str">
        <f>IFERROR(IF(H9&lt;7,1,IF(LEN(D19)&gt;0,1,0)),"")</f>
        <v/>
      </c>
      <c r="H19" s="807" t="e">
        <f>VLOOKUP('Interactive Data Grading'!D19,VOS!$L$6:$M$16,2,FALSE)</f>
        <v>#N/A</v>
      </c>
      <c r="I19" s="807" t="e">
        <f>H19</f>
        <v>#N/A</v>
      </c>
    </row>
    <row r="20" spans="1:18" ht="27.6" customHeight="1">
      <c r="A20" s="215"/>
      <c r="B20" s="215"/>
      <c r="C20" s="562" t="s">
        <v>308</v>
      </c>
      <c r="D20" s="746" t="str">
        <f>IF(D8="","",IF(D8="No","n/a",IF(G20=0,"",IF(R7=0,H9,I20))))</f>
        <v/>
      </c>
      <c r="E20" s="743"/>
      <c r="F20" s="327"/>
      <c r="G20" s="800">
        <f>MIN(G9:G19)</f>
        <v>0</v>
      </c>
      <c r="H20" s="810" t="e">
        <f>MIN(H9:H19)</f>
        <v>#N/A</v>
      </c>
      <c r="I20" s="810">
        <f t="array" ref="I20">MIN(IF(ISNUMBER(I9:I19),I9:I19))</f>
        <v>0</v>
      </c>
      <c r="J20" s="800" t="s">
        <v>648</v>
      </c>
    </row>
    <row r="21" spans="1:18" s="462" customFormat="1" ht="16.350000000000001" customHeight="1">
      <c r="C21" s="559"/>
      <c r="D21" s="559"/>
      <c r="E21" s="837"/>
      <c r="G21" s="811"/>
      <c r="H21" s="811"/>
      <c r="I21" s="812"/>
      <c r="J21" s="811"/>
      <c r="K21" s="811"/>
      <c r="L21" s="811"/>
      <c r="M21" s="811"/>
      <c r="N21" s="811"/>
      <c r="O21" s="811"/>
      <c r="P21" s="811"/>
      <c r="Q21" s="811"/>
      <c r="R21" s="811"/>
    </row>
    <row r="22" spans="1:18" s="462" customFormat="1" ht="16.350000000000001" customHeight="1">
      <c r="C22" s="559"/>
      <c r="D22" s="559"/>
      <c r="E22" s="837"/>
      <c r="G22" s="811"/>
      <c r="H22" s="811"/>
      <c r="I22" s="812"/>
      <c r="J22" s="811"/>
      <c r="K22" s="811"/>
      <c r="L22" s="811"/>
      <c r="M22" s="811"/>
      <c r="N22" s="811"/>
      <c r="O22" s="811"/>
      <c r="P22" s="811"/>
      <c r="Q22" s="811"/>
      <c r="R22" s="811"/>
    </row>
    <row r="23" spans="1:18" s="462" customFormat="1" ht="7.95" customHeight="1">
      <c r="C23" s="559"/>
      <c r="D23" s="559"/>
      <c r="E23" s="837"/>
      <c r="G23" s="811"/>
      <c r="H23" s="811"/>
      <c r="I23" s="812"/>
      <c r="J23" s="811"/>
      <c r="K23" s="811"/>
      <c r="L23" s="811"/>
      <c r="M23" s="811"/>
      <c r="N23" s="811"/>
      <c r="O23" s="811"/>
      <c r="P23" s="811"/>
      <c r="Q23" s="811"/>
      <c r="R23" s="811"/>
    </row>
    <row r="24" spans="1:18" s="462" customFormat="1" ht="8.4" customHeight="1">
      <c r="C24" s="559"/>
      <c r="D24" s="559"/>
      <c r="E24" s="837"/>
      <c r="G24" s="811"/>
      <c r="H24" s="811"/>
      <c r="I24" s="812"/>
      <c r="J24" s="811"/>
      <c r="K24" s="811"/>
      <c r="L24" s="811"/>
      <c r="M24" s="811"/>
      <c r="N24" s="811"/>
      <c r="O24" s="811"/>
      <c r="P24" s="811"/>
      <c r="Q24" s="811"/>
      <c r="R24" s="811"/>
    </row>
    <row r="25" spans="1:18" s="462" customFormat="1" ht="7.35" customHeight="1">
      <c r="C25" s="559"/>
      <c r="D25" s="559"/>
      <c r="E25" s="837"/>
      <c r="G25" s="811"/>
      <c r="H25" s="811"/>
      <c r="I25" s="812"/>
      <c r="J25" s="811"/>
      <c r="K25" s="811"/>
      <c r="L25" s="811"/>
      <c r="M25" s="811"/>
      <c r="N25" s="811"/>
      <c r="O25" s="811"/>
      <c r="P25" s="811"/>
      <c r="Q25" s="811"/>
      <c r="R25" s="811"/>
    </row>
    <row r="26" spans="1:18" s="462" customFormat="1" ht="7.95" customHeight="1">
      <c r="C26" s="559"/>
      <c r="D26" s="559"/>
      <c r="E26" s="837"/>
      <c r="G26" s="811"/>
      <c r="H26" s="811"/>
      <c r="I26" s="812"/>
      <c r="J26" s="811"/>
      <c r="K26" s="811"/>
      <c r="L26" s="811"/>
      <c r="M26" s="811"/>
      <c r="N26" s="811"/>
      <c r="O26" s="811"/>
      <c r="P26" s="811"/>
      <c r="Q26" s="811"/>
      <c r="R26" s="811"/>
    </row>
    <row r="27" spans="1:18" s="462" customFormat="1" ht="7.95" customHeight="1">
      <c r="C27" s="559"/>
      <c r="D27" s="559"/>
      <c r="E27" s="837"/>
      <c r="G27" s="811"/>
      <c r="H27" s="811"/>
      <c r="I27" s="812"/>
      <c r="J27" s="811"/>
      <c r="K27" s="811"/>
      <c r="L27" s="811"/>
      <c r="M27" s="811"/>
      <c r="N27" s="811"/>
      <c r="O27" s="811"/>
      <c r="P27" s="811"/>
      <c r="Q27" s="811"/>
      <c r="R27" s="811"/>
    </row>
    <row r="28" spans="1:18" s="462" customFormat="1" ht="7.95" customHeight="1">
      <c r="C28" s="559"/>
      <c r="D28" s="559"/>
      <c r="E28" s="837"/>
      <c r="G28" s="811"/>
      <c r="H28" s="811"/>
      <c r="I28" s="812"/>
      <c r="J28" s="811"/>
      <c r="K28" s="811"/>
      <c r="L28" s="811"/>
      <c r="M28" s="811"/>
      <c r="N28" s="811"/>
      <c r="O28" s="811"/>
      <c r="P28" s="811"/>
      <c r="Q28" s="811"/>
      <c r="R28" s="811"/>
    </row>
    <row r="29" spans="1:18" s="462" customFormat="1" ht="7.95" customHeight="1">
      <c r="C29" s="559"/>
      <c r="D29" s="559"/>
      <c r="E29" s="837"/>
      <c r="G29" s="811"/>
      <c r="H29" s="811"/>
      <c r="I29" s="812"/>
      <c r="J29" s="811"/>
      <c r="K29" s="811"/>
      <c r="L29" s="811"/>
      <c r="M29" s="811"/>
      <c r="N29" s="811"/>
      <c r="O29" s="811"/>
      <c r="P29" s="811"/>
      <c r="Q29" s="811"/>
      <c r="R29" s="811"/>
    </row>
    <row r="30" spans="1:18" s="462" customFormat="1" ht="7.95" customHeight="1">
      <c r="C30" s="559"/>
      <c r="D30" s="559"/>
      <c r="E30" s="837"/>
      <c r="G30" s="811"/>
      <c r="H30" s="811"/>
      <c r="I30" s="812"/>
      <c r="J30" s="811"/>
      <c r="K30" s="811"/>
      <c r="L30" s="811"/>
      <c r="M30" s="811"/>
      <c r="N30" s="811"/>
      <c r="O30" s="811"/>
      <c r="P30" s="811"/>
      <c r="Q30" s="811"/>
      <c r="R30" s="811"/>
    </row>
    <row r="31" spans="1:18" s="462" customFormat="1" ht="7.95" customHeight="1">
      <c r="C31" s="559"/>
      <c r="D31" s="559"/>
      <c r="E31" s="837"/>
      <c r="G31" s="811"/>
      <c r="H31" s="811"/>
      <c r="I31" s="812"/>
      <c r="J31" s="811"/>
      <c r="K31" s="811"/>
      <c r="L31" s="811"/>
      <c r="M31" s="811"/>
      <c r="N31" s="811"/>
      <c r="O31" s="811"/>
      <c r="P31" s="811"/>
      <c r="Q31" s="811"/>
      <c r="R31" s="811"/>
    </row>
    <row r="32" spans="1:18" s="462" customFormat="1" ht="8.4" customHeight="1">
      <c r="C32" s="559"/>
      <c r="D32" s="559"/>
      <c r="E32" s="837"/>
      <c r="G32" s="811"/>
      <c r="H32" s="811"/>
      <c r="I32" s="812"/>
      <c r="J32" s="811"/>
      <c r="K32" s="811"/>
      <c r="L32" s="811"/>
      <c r="M32" s="811"/>
      <c r="N32" s="811"/>
      <c r="O32" s="811"/>
      <c r="P32" s="811"/>
      <c r="Q32" s="811"/>
      <c r="R32" s="811"/>
    </row>
    <row r="33" spans="1:18" s="462" customFormat="1" ht="8.4" customHeight="1">
      <c r="C33" s="559"/>
      <c r="D33" s="559"/>
      <c r="E33" s="837"/>
      <c r="G33" s="811"/>
      <c r="H33" s="811"/>
      <c r="I33" s="812"/>
      <c r="J33" s="811"/>
      <c r="K33" s="811"/>
      <c r="L33" s="811"/>
      <c r="M33" s="811"/>
      <c r="N33" s="811"/>
      <c r="O33" s="811"/>
      <c r="P33" s="811"/>
      <c r="Q33" s="811"/>
      <c r="R33" s="811"/>
    </row>
    <row r="34" spans="1:18" s="462" customFormat="1" ht="8.4" customHeight="1">
      <c r="C34" s="559"/>
      <c r="D34" s="559"/>
      <c r="E34" s="837"/>
      <c r="G34" s="811"/>
      <c r="H34" s="811"/>
      <c r="I34" s="812"/>
      <c r="J34" s="811"/>
      <c r="K34" s="811"/>
      <c r="L34" s="811"/>
      <c r="M34" s="811"/>
      <c r="N34" s="811"/>
      <c r="O34" s="811"/>
      <c r="P34" s="811"/>
      <c r="Q34" s="811"/>
      <c r="R34" s="811"/>
    </row>
    <row r="35" spans="1:18" s="462" customFormat="1" ht="16.350000000000001" customHeight="1">
      <c r="C35" s="559"/>
      <c r="D35" s="559"/>
      <c r="E35" s="837"/>
      <c r="G35" s="811"/>
      <c r="H35" s="811"/>
      <c r="I35" s="812"/>
      <c r="J35" s="811"/>
      <c r="K35" s="811"/>
      <c r="L35" s="811"/>
      <c r="M35" s="811"/>
      <c r="N35" s="811"/>
      <c r="O35" s="811"/>
      <c r="P35" s="811"/>
      <c r="Q35" s="811"/>
      <c r="R35" s="811"/>
    </row>
    <row r="36" spans="1:18" s="462" customFormat="1" ht="16.350000000000001" customHeight="1">
      <c r="A36" s="1146" t="s">
        <v>1125</v>
      </c>
      <c r="B36" s="1147"/>
      <c r="C36" s="1148" t="s">
        <v>337</v>
      </c>
      <c r="D36" s="1148"/>
      <c r="E36" s="881" t="s">
        <v>1126</v>
      </c>
      <c r="G36" s="811"/>
      <c r="H36" s="811" t="s">
        <v>524</v>
      </c>
      <c r="I36" s="812"/>
      <c r="J36" s="811"/>
      <c r="K36" s="811"/>
      <c r="L36" s="811"/>
      <c r="M36" s="811"/>
      <c r="N36" s="811"/>
      <c r="O36" s="811"/>
      <c r="P36" s="811"/>
      <c r="Q36" s="811"/>
      <c r="R36" s="811"/>
    </row>
    <row r="37" spans="1:18" ht="9.75" customHeight="1">
      <c r="A37" s="215"/>
      <c r="B37" s="215"/>
      <c r="C37" s="215"/>
      <c r="D37" s="215"/>
      <c r="E37" s="744"/>
      <c r="F37" s="327"/>
      <c r="H37" s="803"/>
      <c r="I37" s="803"/>
    </row>
    <row r="38" spans="1:18" s="567" customFormat="1" ht="12">
      <c r="A38" s="563"/>
      <c r="B38" s="564" t="s">
        <v>351</v>
      </c>
      <c r="C38" s="565" t="s">
        <v>298</v>
      </c>
      <c r="D38" s="565" t="s">
        <v>655</v>
      </c>
      <c r="E38" s="743"/>
      <c r="F38" s="566"/>
      <c r="G38" s="804"/>
      <c r="H38" s="805" t="s">
        <v>297</v>
      </c>
      <c r="I38" s="805"/>
      <c r="J38" s="804" t="s">
        <v>786</v>
      </c>
      <c r="K38" s="804"/>
      <c r="L38" s="804"/>
      <c r="M38" s="804"/>
      <c r="N38" s="804"/>
      <c r="O38" s="804"/>
      <c r="P38" s="804"/>
      <c r="Q38" s="804"/>
      <c r="R38" s="804"/>
    </row>
    <row r="39" spans="1:18" ht="27.6" customHeight="1">
      <c r="A39" s="215"/>
      <c r="B39" s="546" t="s">
        <v>332</v>
      </c>
      <c r="C39" s="874" t="str">
        <f>VOSEA!B34</f>
        <v>Are tank levels monitored automatically &amp; recorded daily?</v>
      </c>
      <c r="D39" s="329"/>
      <c r="E39" s="743" t="str">
        <f>IFERROR(IF(OR($D$43="",$H39=10,NOT(ISNUMBER($H39))),"",IF(H39=$H$43,"Limiting","")),"")</f>
        <v/>
      </c>
      <c r="F39" s="327"/>
      <c r="G39" s="813">
        <f t="shared" ref="G39" si="2">IF(LEN(D39)&gt;0,1,0)</f>
        <v>0</v>
      </c>
      <c r="H39" s="807" t="e">
        <f>VLOOKUP('Interactive Data Grading'!D39,VOSEA!$C$6:$G$18,5,FALSE)</f>
        <v>#N/A</v>
      </c>
      <c r="I39" s="806"/>
    </row>
    <row r="40" spans="1:18" ht="27.6" customHeight="1">
      <c r="A40" s="215"/>
      <c r="B40" s="546" t="s">
        <v>333</v>
      </c>
      <c r="C40" s="874" t="str">
        <f>VOSEA!B35</f>
        <v>Are daily changes of stored water volumes in distribution system tanks included in the tabulation of the daily "Volume from Own Sources" quantity?</v>
      </c>
      <c r="D40" s="329"/>
      <c r="E40" s="743" t="str">
        <f t="shared" ref="E40:E42" si="3">IFERROR(IF(OR($D$43="",$H40=10,NOT(ISNUMBER($H40))),"",IF(H40=$H$43,"Limiting","")),"")</f>
        <v/>
      </c>
      <c r="F40" s="327"/>
      <c r="G40" s="813">
        <f>IF(OR(LEN(D40)&gt;0,D39=VOSEA!$C$23),1,0)</f>
        <v>0</v>
      </c>
      <c r="H40" s="807" t="e">
        <f>VLOOKUP('Interactive Data Grading'!D40,VOSEA!$D$6:$G$18,4,FALSE)</f>
        <v>#N/A</v>
      </c>
      <c r="I40" s="806"/>
      <c r="J40" s="799" t="s">
        <v>332</v>
      </c>
    </row>
    <row r="41" spans="1:18" ht="27.6" customHeight="1">
      <c r="A41" s="215"/>
      <c r="B41" s="546" t="s">
        <v>334</v>
      </c>
      <c r="C41" s="874" t="str">
        <f>VOSEA!B36</f>
        <v>Is the annual net distribution storage change included in either the VOS input or the VOSEA input?</v>
      </c>
      <c r="D41" s="329"/>
      <c r="E41" s="743" t="str">
        <f t="shared" si="3"/>
        <v/>
      </c>
      <c r="F41" s="327"/>
      <c r="G41" s="813">
        <f t="shared" ref="G41:G42" si="4">IF(LEN(D41)&gt;0,1,0)</f>
        <v>0</v>
      </c>
      <c r="H41" s="807" t="e">
        <f>VLOOKUP('Interactive Data Grading'!D41,VOSEA!$E$6:$G$18,3,FALSE)</f>
        <v>#N/A</v>
      </c>
      <c r="I41" s="806"/>
    </row>
    <row r="42" spans="1:18" ht="27.6" customHeight="1">
      <c r="A42" s="215"/>
      <c r="B42" s="546" t="s">
        <v>335</v>
      </c>
      <c r="C42" s="874" t="str">
        <f>VOSEA!B37</f>
        <v>Are the flow accuracy test and/or electronic calibration results included in the VOSEA input in the water audit?</v>
      </c>
      <c r="D42" s="329"/>
      <c r="E42" s="743" t="str">
        <f t="shared" si="3"/>
        <v/>
      </c>
      <c r="F42" s="327"/>
      <c r="G42" s="813">
        <f t="shared" si="4"/>
        <v>0</v>
      </c>
      <c r="H42" s="807" t="e">
        <f>VLOOKUP('Interactive Data Grading'!D42,VOSEA!$F$6:$G$18,2,FALSE)</f>
        <v>#N/A</v>
      </c>
      <c r="I42" s="806"/>
    </row>
    <row r="43" spans="1:18" ht="27.6" customHeight="1">
      <c r="A43" s="215"/>
      <c r="B43" s="215"/>
      <c r="C43" s="562" t="s">
        <v>308</v>
      </c>
      <c r="D43" s="746" t="str">
        <f>IFERROR(IF(D8="No","n/a",IF(G43=0,"",H43)),"")</f>
        <v/>
      </c>
      <c r="E43" s="743"/>
      <c r="F43" s="327"/>
      <c r="G43" s="813">
        <f>MIN(G39:G42)</f>
        <v>0</v>
      </c>
      <c r="H43" s="810">
        <f t="array" ref="H43">MIN(IF(ISNUMBER(H39:H42),H39:H42))</f>
        <v>0</v>
      </c>
      <c r="I43" s="806"/>
    </row>
    <row r="44" spans="1:18" s="462" customFormat="1" ht="16.350000000000001" customHeight="1">
      <c r="C44" s="559"/>
      <c r="D44" s="646" t="str">
        <f>IF(AND(D41="Yes",LEN(Worksheet!O15)=0,LEN(Worksheet!Q15)=0),"Please check consistency of inputs with vosea.3 - no adjustment entered on Worksheet","")</f>
        <v/>
      </c>
      <c r="E44" s="837"/>
      <c r="G44" s="811"/>
      <c r="H44" s="811"/>
      <c r="I44" s="812"/>
      <c r="J44" s="811"/>
      <c r="K44" s="811"/>
      <c r="L44" s="811"/>
      <c r="M44" s="811"/>
      <c r="N44" s="811"/>
      <c r="O44" s="811"/>
      <c r="P44" s="811"/>
      <c r="Q44" s="811"/>
      <c r="R44" s="811"/>
    </row>
    <row r="45" spans="1:18" s="462" customFormat="1" ht="16.350000000000001" customHeight="1">
      <c r="C45" s="559"/>
      <c r="D45" s="559"/>
      <c r="E45" s="837"/>
      <c r="G45" s="811"/>
      <c r="H45" s="811"/>
      <c r="I45" s="812"/>
      <c r="J45" s="811"/>
      <c r="K45" s="811"/>
      <c r="L45" s="811"/>
      <c r="M45" s="811"/>
      <c r="N45" s="811"/>
      <c r="O45" s="811"/>
      <c r="P45" s="811"/>
      <c r="Q45" s="811"/>
      <c r="R45" s="811"/>
    </row>
    <row r="46" spans="1:18" s="462" customFormat="1" ht="16.350000000000001" customHeight="1">
      <c r="C46" s="559"/>
      <c r="D46" s="559"/>
      <c r="E46" s="837"/>
      <c r="G46" s="811"/>
      <c r="H46" s="811"/>
      <c r="I46" s="812"/>
      <c r="J46" s="811"/>
      <c r="K46" s="811"/>
      <c r="L46" s="811"/>
      <c r="M46" s="811"/>
      <c r="N46" s="811"/>
      <c r="O46" s="811"/>
      <c r="P46" s="811"/>
      <c r="Q46" s="811"/>
      <c r="R46" s="811"/>
    </row>
    <row r="47" spans="1:18" s="462" customFormat="1" ht="16.350000000000001" customHeight="1">
      <c r="C47" s="559"/>
      <c r="D47" s="559"/>
      <c r="E47" s="837"/>
      <c r="G47" s="811"/>
      <c r="H47" s="811"/>
      <c r="I47" s="812"/>
      <c r="J47" s="811"/>
      <c r="K47" s="811"/>
      <c r="L47" s="811"/>
      <c r="M47" s="811"/>
      <c r="N47" s="811"/>
      <c r="O47" s="811"/>
      <c r="P47" s="811"/>
      <c r="Q47" s="811"/>
      <c r="R47" s="811"/>
    </row>
    <row r="48" spans="1:18" s="462" customFormat="1" ht="16.350000000000001" customHeight="1">
      <c r="C48" s="559"/>
      <c r="D48" s="559"/>
      <c r="E48" s="837"/>
      <c r="G48" s="811"/>
      <c r="H48" s="811"/>
      <c r="I48" s="812"/>
      <c r="J48" s="811"/>
      <c r="K48" s="811"/>
      <c r="L48" s="811"/>
      <c r="M48" s="811"/>
      <c r="N48" s="811"/>
      <c r="O48" s="811"/>
      <c r="P48" s="811"/>
      <c r="Q48" s="811"/>
      <c r="R48" s="811"/>
    </row>
    <row r="49" spans="1:18" s="462" customFormat="1" ht="16.350000000000001" customHeight="1">
      <c r="C49" s="559"/>
      <c r="D49" s="559"/>
      <c r="E49" s="837"/>
      <c r="G49" s="811"/>
      <c r="H49" s="811"/>
      <c r="I49" s="812"/>
      <c r="J49" s="811"/>
      <c r="K49" s="811"/>
      <c r="L49" s="811"/>
      <c r="M49" s="811"/>
      <c r="N49" s="811"/>
      <c r="O49" s="811"/>
      <c r="P49" s="811"/>
      <c r="Q49" s="811"/>
      <c r="R49" s="811"/>
    </row>
    <row r="50" spans="1:18" s="462" customFormat="1" ht="16.350000000000001" customHeight="1">
      <c r="C50" s="559"/>
      <c r="D50" s="559"/>
      <c r="E50" s="837"/>
      <c r="G50" s="811"/>
      <c r="H50" s="811"/>
      <c r="I50" s="812"/>
      <c r="J50" s="811"/>
      <c r="K50" s="811"/>
      <c r="L50" s="811"/>
      <c r="M50" s="811"/>
      <c r="N50" s="811"/>
      <c r="O50" s="811"/>
      <c r="P50" s="811"/>
      <c r="Q50" s="811"/>
      <c r="R50" s="811"/>
    </row>
    <row r="51" spans="1:18" s="462" customFormat="1" ht="16.350000000000001" customHeight="1">
      <c r="C51" s="559"/>
      <c r="D51" s="559"/>
      <c r="E51" s="837"/>
      <c r="G51" s="811"/>
      <c r="H51" s="811"/>
      <c r="I51" s="812"/>
      <c r="J51" s="811"/>
      <c r="K51" s="811"/>
      <c r="L51" s="811"/>
      <c r="M51" s="811"/>
      <c r="N51" s="811"/>
      <c r="O51" s="811"/>
      <c r="P51" s="811"/>
      <c r="Q51" s="811"/>
      <c r="R51" s="811"/>
    </row>
    <row r="52" spans="1:18" s="462" customFormat="1" ht="16.350000000000001" customHeight="1">
      <c r="C52" s="559"/>
      <c r="D52" s="559"/>
      <c r="E52" s="837"/>
      <c r="G52" s="811"/>
      <c r="H52" s="811"/>
      <c r="I52" s="812"/>
      <c r="J52" s="811"/>
      <c r="K52" s="811"/>
      <c r="L52" s="811"/>
      <c r="M52" s="811"/>
      <c r="N52" s="811"/>
      <c r="O52" s="811"/>
      <c r="P52" s="811"/>
      <c r="Q52" s="811"/>
      <c r="R52" s="811"/>
    </row>
    <row r="53" spans="1:18" s="462" customFormat="1" ht="16.350000000000001" customHeight="1">
      <c r="C53" s="559"/>
      <c r="D53" s="559"/>
      <c r="E53" s="837"/>
      <c r="G53" s="811"/>
      <c r="H53" s="811"/>
      <c r="I53" s="812"/>
      <c r="J53" s="811"/>
      <c r="K53" s="811"/>
      <c r="L53" s="811"/>
      <c r="M53" s="811"/>
      <c r="N53" s="811"/>
      <c r="O53" s="811"/>
      <c r="P53" s="811"/>
      <c r="Q53" s="811"/>
      <c r="R53" s="811"/>
    </row>
    <row r="54" spans="1:18" s="462" customFormat="1" ht="16.350000000000001" customHeight="1">
      <c r="C54" s="559"/>
      <c r="D54" s="559"/>
      <c r="E54" s="837"/>
      <c r="G54" s="811"/>
      <c r="H54" s="811"/>
      <c r="I54" s="812"/>
      <c r="J54" s="811"/>
      <c r="K54" s="811"/>
      <c r="L54" s="811"/>
      <c r="M54" s="811"/>
      <c r="N54" s="811"/>
      <c r="O54" s="811"/>
      <c r="P54" s="811"/>
      <c r="Q54" s="811"/>
      <c r="R54" s="811"/>
    </row>
    <row r="55" spans="1:18" s="462" customFormat="1" ht="16.350000000000001" customHeight="1">
      <c r="C55" s="559"/>
      <c r="D55" s="559"/>
      <c r="E55" s="837"/>
      <c r="G55" s="811"/>
      <c r="H55" s="811"/>
      <c r="I55" s="812"/>
      <c r="J55" s="811"/>
      <c r="K55" s="811"/>
      <c r="L55" s="811"/>
      <c r="M55" s="811"/>
      <c r="N55" s="811"/>
      <c r="O55" s="811"/>
      <c r="P55" s="811"/>
      <c r="Q55" s="811"/>
      <c r="R55" s="811"/>
    </row>
    <row r="56" spans="1:18" s="462" customFormat="1" ht="16.5" customHeight="1">
      <c r="C56" s="559"/>
      <c r="D56" s="559"/>
      <c r="E56" s="837"/>
      <c r="G56" s="811"/>
      <c r="H56" s="811"/>
      <c r="I56" s="812"/>
      <c r="J56" s="811"/>
      <c r="K56" s="811"/>
      <c r="L56" s="811"/>
      <c r="M56" s="811"/>
      <c r="N56" s="811"/>
      <c r="O56" s="811"/>
      <c r="P56" s="811"/>
      <c r="Q56" s="811"/>
      <c r="R56" s="811"/>
    </row>
    <row r="57" spans="1:18" s="462" customFormat="1" ht="20.399999999999999" customHeight="1">
      <c r="C57" s="559"/>
      <c r="D57" s="559"/>
      <c r="E57" s="837"/>
      <c r="G57" s="811"/>
      <c r="H57" s="811"/>
      <c r="I57" s="812"/>
      <c r="J57" s="811"/>
      <c r="K57" s="811"/>
      <c r="L57" s="811"/>
      <c r="M57" s="811"/>
      <c r="N57" s="811"/>
      <c r="O57" s="811"/>
      <c r="P57" s="811"/>
      <c r="Q57" s="811"/>
      <c r="R57" s="811"/>
    </row>
    <row r="58" spans="1:18" s="462" customFormat="1" ht="20.399999999999999" customHeight="1">
      <c r="C58" s="559"/>
      <c r="D58" s="559"/>
      <c r="E58" s="837"/>
      <c r="G58" s="811"/>
      <c r="H58" s="811"/>
      <c r="I58" s="812"/>
      <c r="J58" s="811"/>
      <c r="K58" s="811"/>
      <c r="L58" s="811"/>
      <c r="M58" s="811"/>
      <c r="N58" s="811"/>
      <c r="O58" s="811"/>
      <c r="P58" s="811"/>
      <c r="Q58" s="811"/>
      <c r="R58" s="811"/>
    </row>
    <row r="59" spans="1:18" s="462" customFormat="1" ht="16.350000000000001" customHeight="1">
      <c r="A59" s="1146" t="s">
        <v>1125</v>
      </c>
      <c r="B59" s="1147"/>
      <c r="C59" s="1148" t="s">
        <v>352</v>
      </c>
      <c r="D59" s="1148"/>
      <c r="E59" s="881" t="s">
        <v>1126</v>
      </c>
      <c r="G59" s="811"/>
      <c r="H59" s="811"/>
      <c r="I59" s="812"/>
      <c r="J59" s="811"/>
      <c r="K59" s="811"/>
      <c r="L59" s="811"/>
      <c r="M59" s="811"/>
      <c r="N59" s="811"/>
      <c r="O59" s="811"/>
      <c r="P59" s="811"/>
      <c r="Q59" s="811"/>
      <c r="R59" s="811"/>
    </row>
    <row r="60" spans="1:18" ht="12.6" customHeight="1">
      <c r="A60" s="215"/>
      <c r="B60" s="215"/>
      <c r="C60" s="1149" t="str">
        <f>IF(OR(AND(D62="Yes",Worksheet!H16&gt;0),AND(D62="No",Worksheet!H16&lt;=0),LEN(D62)=0),"","Inconsistency between Worksheet WI input and Wi.0 response")</f>
        <v/>
      </c>
      <c r="D60" s="1149"/>
      <c r="E60" s="744"/>
      <c r="F60" s="327"/>
      <c r="H60" s="803"/>
      <c r="I60" s="803"/>
    </row>
    <row r="61" spans="1:18" s="567" customFormat="1" ht="12">
      <c r="A61" s="563"/>
      <c r="B61" s="564" t="s">
        <v>353</v>
      </c>
      <c r="C61" s="565" t="s">
        <v>298</v>
      </c>
      <c r="D61" s="565" t="s">
        <v>655</v>
      </c>
      <c r="E61" s="743"/>
      <c r="F61" s="566"/>
      <c r="G61" s="804"/>
      <c r="H61" s="805" t="s">
        <v>297</v>
      </c>
      <c r="I61" s="805" t="s">
        <v>290</v>
      </c>
      <c r="J61" s="804" t="s">
        <v>786</v>
      </c>
      <c r="K61" s="804"/>
      <c r="L61" s="804"/>
      <c r="M61" s="804"/>
      <c r="N61" s="804"/>
      <c r="O61" s="804"/>
      <c r="P61" s="804"/>
      <c r="Q61" s="804"/>
      <c r="R61" s="804"/>
    </row>
    <row r="62" spans="1:18" ht="18" customHeight="1">
      <c r="A62" s="215"/>
      <c r="B62" s="546" t="s">
        <v>433</v>
      </c>
      <c r="C62" s="873" t="str">
        <f>WI!B34</f>
        <v>Did the water utility import any water during the audit year?</v>
      </c>
      <c r="D62" s="329"/>
      <c r="E62" s="743"/>
      <c r="F62" s="327"/>
      <c r="I62" s="806"/>
      <c r="J62" s="799" t="s">
        <v>785</v>
      </c>
    </row>
    <row r="63" spans="1:18" ht="17.399999999999999" customHeight="1">
      <c r="A63" s="215"/>
      <c r="B63" s="546" t="s">
        <v>340</v>
      </c>
      <c r="C63" s="873" t="str">
        <f>WI!B35</f>
        <v>What percent of water imported is metered?</v>
      </c>
      <c r="D63" s="329"/>
      <c r="E63" s="743" t="str">
        <f>IF(OR(D74=10,NOT(ISNUMBER(D74))),"",IF(I63=I74,"Limiting",IF(VLOOKUP(D63,$P$7:$Q$15,2,FALSE)=0,"Limiting","")))</f>
        <v/>
      </c>
      <c r="F63" s="327"/>
      <c r="G63" s="799">
        <f>IF(LEN(D63)&gt;0,1,0)</f>
        <v>0</v>
      </c>
      <c r="H63" s="807" t="e">
        <f>VLOOKUP('Interactive Data Grading'!D63,WI!$C$6:$M$16,11,FALSE)</f>
        <v>#N/A</v>
      </c>
      <c r="I63" s="807" t="e">
        <f>H63</f>
        <v>#N/A</v>
      </c>
    </row>
    <row r="64" spans="1:18" ht="67.5" customHeight="1">
      <c r="A64" s="215"/>
      <c r="C64" s="1150" t="s">
        <v>1218</v>
      </c>
      <c r="D64" s="1151"/>
      <c r="E64" s="743"/>
      <c r="F64" s="327"/>
      <c r="H64" s="807"/>
      <c r="I64" s="808"/>
    </row>
    <row r="65" spans="1:18" ht="18" customHeight="1">
      <c r="A65" s="215"/>
      <c r="B65" s="546" t="s">
        <v>341</v>
      </c>
      <c r="C65" s="873" t="str">
        <f>WI!B36</f>
        <v>What is the frequency of electronic calibration?</v>
      </c>
      <c r="D65" s="329"/>
      <c r="E65" s="743" t="str">
        <f>IFERROR(IF(OR($D$74=10,NOT(ISNUMBER($D$74))),"",IF(I65=$I$74,"Limiting","")),"")</f>
        <v/>
      </c>
      <c r="F65" s="327"/>
      <c r="G65" s="799" t="str">
        <f>IFERROR(IF(H63&lt;7,1,IF(LEN(D65)&gt;0,1,0)),"")</f>
        <v/>
      </c>
      <c r="H65" s="807" t="e">
        <f>VLOOKUP('Interactive Data Grading'!D65,WI!$D$6:$M$16,10,FALSE)</f>
        <v>#N/A</v>
      </c>
      <c r="I65" s="808" t="e">
        <f>IF(AND(H65&gt;=7,H68&gt;=7),MAX(H65,9),IF(AND(H65&gt;3,H65&lt;7,H68&gt;3,H68&lt;7),MAX(H65,H68),IF(H68&gt;=7,MAX(7,H65),H65)))</f>
        <v>#N/A</v>
      </c>
    </row>
    <row r="66" spans="1:18" ht="26.4" customHeight="1">
      <c r="A66" s="215"/>
      <c r="B66" s="546" t="s">
        <v>342</v>
      </c>
      <c r="C66" s="873" t="str">
        <f>WI!B37</f>
        <v>What level of data transfer errors are checked as part of the electronic calibration process?</v>
      </c>
      <c r="D66" s="334"/>
      <c r="E66" s="743" t="str">
        <f t="shared" ref="E66:E73" si="5">IFERROR(IF(OR($D$74=10,NOT(ISNUMBER($D$74))),"",IF(I66=$I$74,"Limiting","")),"")</f>
        <v/>
      </c>
      <c r="F66" s="327"/>
      <c r="G66" s="809" t="str">
        <f>IFERROR(IF(H63&lt;7,1,IF(OR(D65=WI!D23,D65=WI!D27),1,IF(LEN(D66)&gt;0,1,0))),"")</f>
        <v/>
      </c>
      <c r="H66" s="807" t="e">
        <f>VLOOKUP('Interactive Data Grading'!D66,WI!$E$6:$M$16,9,FALSE)</f>
        <v>#N/A</v>
      </c>
      <c r="I66" s="807" t="e">
        <f>IF(D65=WI!$D$23,NA(),H66)</f>
        <v>#N/A</v>
      </c>
      <c r="J66" s="799" t="s">
        <v>341</v>
      </c>
    </row>
    <row r="67" spans="1:18" ht="18" customHeight="1">
      <c r="A67" s="215"/>
      <c r="B67" s="546" t="s">
        <v>343</v>
      </c>
      <c r="C67" s="873" t="str">
        <f>WI!B38</f>
        <v>Is the most recent electronic calibration documentation available?</v>
      </c>
      <c r="D67" s="329"/>
      <c r="E67" s="743" t="str">
        <f t="shared" si="5"/>
        <v/>
      </c>
      <c r="F67" s="327"/>
      <c r="G67" s="799" t="str">
        <f>IFERROR(IF(H63&lt;7,1,IF(OR(D65=WI!D23,D65=WI!D27),1,IF(LEN(D67)&gt;0,1,0))),"")</f>
        <v/>
      </c>
      <c r="H67" s="807" t="e">
        <f>VLOOKUP('Interactive Data Grading'!D67,WI!$F$6:$M$16,8,FALSE)</f>
        <v>#N/A</v>
      </c>
      <c r="I67" s="808" t="e" cm="1">
        <f t="array" ref="I67">IF(D65=WI!D23,X,IF(AND(H67=5,H69=10),7,H67))</f>
        <v>#N/A</v>
      </c>
      <c r="J67" s="799" t="s">
        <v>341</v>
      </c>
    </row>
    <row r="68" spans="1:18" ht="16.5" customHeight="1">
      <c r="A68" s="215"/>
      <c r="B68" s="546" t="s">
        <v>344</v>
      </c>
      <c r="C68" s="873" t="str">
        <f>WI!B39</f>
        <v>What is the frequency of in-situ flow accuracy testing?</v>
      </c>
      <c r="D68" s="329"/>
      <c r="E68" s="743" t="str">
        <f t="shared" si="5"/>
        <v/>
      </c>
      <c r="F68" s="327"/>
      <c r="G68" s="799" t="str">
        <f>IFERROR(IF(H63&lt;7,1,IF(LEN(D68)&gt;0,1,0)),"")</f>
        <v/>
      </c>
      <c r="H68" s="807" t="e">
        <f>VLOOKUP('Interactive Data Grading'!D68,WI!$G$6:$M$16,7,FALSE)</f>
        <v>#N/A</v>
      </c>
      <c r="I68" s="808" t="e">
        <f>IF(AND(H65&gt;=7,H68&gt;=7),MAX(H68,9),IF(AND(H65&gt;3,H65&lt;7,H68&gt;3,H68&lt;7),MAX(H65,H68),IF(H65&gt;=7,MAX(7,H68),H68)))</f>
        <v>#N/A</v>
      </c>
    </row>
    <row r="69" spans="1:18" ht="20.399999999999999" customHeight="1">
      <c r="A69" s="215"/>
      <c r="B69" s="546" t="s">
        <v>345</v>
      </c>
      <c r="C69" s="873" t="str">
        <f>WI!B40</f>
        <v>Is the most recent in-situ flow accuracy testing documentation available?</v>
      </c>
      <c r="D69" s="329"/>
      <c r="E69" s="743" t="str">
        <f t="shared" si="5"/>
        <v/>
      </c>
      <c r="F69" s="327"/>
      <c r="G69" s="799" t="str">
        <f>IFERROR(IF(H63&lt;7,1,IF(D68=WI!G23,1,IF(LEN(D69)&gt;0,1,0))),"")</f>
        <v/>
      </c>
      <c r="H69" s="807" t="e">
        <f>VLOOKUP('Interactive Data Grading'!D69,WI!$H$6:$M$16,6,FALSE)</f>
        <v>#N/A</v>
      </c>
      <c r="I69" s="808" t="e">
        <f>IF(D68=WI!G23,X,IF(AND(H69=5,H67=10),7,H69))</f>
        <v>#N/A</v>
      </c>
      <c r="J69" s="799" t="s">
        <v>343</v>
      </c>
    </row>
    <row r="70" spans="1:18" ht="27" customHeight="1">
      <c r="A70" s="215"/>
      <c r="B70" s="546" t="s">
        <v>346</v>
      </c>
      <c r="C70" s="875" t="str">
        <f>WI!B41</f>
        <v>What are the total volume-weighted average results of in-situ flow accuracy testing (during or closest to audit year)?</v>
      </c>
      <c r="D70" s="329"/>
      <c r="E70" s="743" t="str">
        <f t="shared" si="5"/>
        <v/>
      </c>
      <c r="F70" s="327"/>
      <c r="G70" s="799" t="str">
        <f>IFERROR(IF(H63&lt;7,1,IF(OR(D68=WI!G23,D69=WI!H23),1,IF(LEN(D70)&gt;0,1,0))),"")</f>
        <v/>
      </c>
      <c r="H70" s="807" t="e">
        <f>VLOOKUP('Interactive Data Grading'!D70,WI!$I$6:$M$16,5,FALSE)</f>
        <v>#N/A</v>
      </c>
      <c r="I70" s="808" t="e">
        <f>IF(OR(D68=WI!G23,D69=WI!H23),X,H70)</f>
        <v>#N/A</v>
      </c>
      <c r="J70" s="799" t="s">
        <v>802</v>
      </c>
    </row>
    <row r="71" spans="1:18" ht="37.5" customHeight="1">
      <c r="A71" s="215"/>
      <c r="B71" s="546" t="s">
        <v>347</v>
      </c>
      <c r="C71" s="873" t="str">
        <f>WI!B42</f>
        <v>Have testing and calibration procedures been closely scrutinized for compliance with procedures described in the AWWA M36 and/or M33 Manual(s)?</v>
      </c>
      <c r="D71" s="329"/>
      <c r="E71" s="743" t="str">
        <f t="shared" si="5"/>
        <v/>
      </c>
      <c r="F71" s="327"/>
      <c r="G71" s="799" t="str">
        <f>IFERROR(IF(H63&lt;7,1,IF(AND(OR(D65=WI!D23,D65=WI!D27),D68=WI!G23),1,IF(LEN(D71)&gt;0,1,0))),"")</f>
        <v/>
      </c>
      <c r="H71" s="807" t="e">
        <f>VLOOKUP('Interactive Data Grading'!D71,WI!$J$6:$M$16,4,FALSE)</f>
        <v>#N/A</v>
      </c>
      <c r="I71" s="808" t="e">
        <f>IF(OR(D68=WI!G23,D69=WI!H23),X,H71)</f>
        <v>#N/A</v>
      </c>
      <c r="J71" s="809" t="s">
        <v>806</v>
      </c>
    </row>
    <row r="72" spans="1:18" ht="25.5" customHeight="1">
      <c r="A72" s="215"/>
      <c r="B72" s="546" t="s">
        <v>348</v>
      </c>
      <c r="C72" s="873" t="str">
        <f>WI!B43</f>
        <v>Which best describes the frequency of meter readings (data collection frequency as opposed to billing frequency)?</v>
      </c>
      <c r="D72" s="329"/>
      <c r="E72" s="743" t="str">
        <f t="shared" si="5"/>
        <v/>
      </c>
      <c r="F72" s="327"/>
      <c r="G72" s="799" t="str">
        <f>IFERROR(IF(H63&lt;7,1,IF(LEN(D72)&gt;0,1,0)),"")</f>
        <v/>
      </c>
      <c r="H72" s="807" t="e">
        <f>VLOOKUP('Interactive Data Grading'!D72,WI!$K$6:$M$16,3,FALSE)</f>
        <v>#N/A</v>
      </c>
      <c r="I72" s="807" t="e">
        <f>H72</f>
        <v>#N/A</v>
      </c>
    </row>
    <row r="73" spans="1:18" ht="44.4" customHeight="1">
      <c r="A73" s="215"/>
      <c r="B73" s="546" t="s">
        <v>803</v>
      </c>
      <c r="C73" s="873"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43" t="str">
        <f t="shared" si="5"/>
        <v/>
      </c>
      <c r="F73" s="327"/>
      <c r="G73" s="799" t="str">
        <f>IFERROR(IF(H63&lt;7,1,IF(LEN(D73)&gt;0,1,0)),"")</f>
        <v/>
      </c>
      <c r="H73" s="807" t="e">
        <f>VLOOKUP('Interactive Data Grading'!D73,WI!$L$6:$M$16,2,FALSE)</f>
        <v>#N/A</v>
      </c>
      <c r="I73" s="807" t="e">
        <f>H73</f>
        <v>#N/A</v>
      </c>
    </row>
    <row r="74" spans="1:18" ht="27.6" customHeight="1">
      <c r="A74" s="215"/>
      <c r="B74" s="215"/>
      <c r="C74" s="328" t="s">
        <v>308</v>
      </c>
      <c r="D74" s="746" t="str">
        <f>IF(D62="","",IF(D62="No","n/a",IF(G74=0,"",IF(R8=0,H63,I74))))</f>
        <v/>
      </c>
      <c r="E74" s="743"/>
      <c r="F74" s="327"/>
      <c r="G74" s="799">
        <f>MIN(G63:G73)</f>
        <v>0</v>
      </c>
      <c r="H74" s="810" t="e">
        <f>MIN(H63:H73)</f>
        <v>#N/A</v>
      </c>
      <c r="I74" s="810">
        <f t="array" ref="I74">MIN(IF(ISNUMBER(I63:I73),I63:I73))</f>
        <v>0</v>
      </c>
    </row>
    <row r="75" spans="1:18" s="462" customFormat="1" ht="16.350000000000001" customHeight="1">
      <c r="C75" s="559"/>
      <c r="D75" s="559"/>
      <c r="E75" s="837"/>
      <c r="G75" s="811"/>
      <c r="H75" s="811"/>
      <c r="I75" s="812"/>
      <c r="J75" s="811"/>
      <c r="K75" s="811"/>
      <c r="L75" s="811"/>
      <c r="M75" s="811"/>
      <c r="N75" s="811"/>
      <c r="O75" s="811"/>
      <c r="P75" s="811"/>
      <c r="Q75" s="811"/>
      <c r="R75" s="811"/>
    </row>
    <row r="76" spans="1:18" s="462" customFormat="1" ht="16.350000000000001" customHeight="1">
      <c r="C76" s="559"/>
      <c r="D76" s="559"/>
      <c r="E76" s="837"/>
      <c r="G76" s="811"/>
      <c r="H76" s="811"/>
      <c r="I76" s="812"/>
      <c r="J76" s="811"/>
      <c r="K76" s="811"/>
      <c r="L76" s="811"/>
      <c r="M76" s="811"/>
      <c r="N76" s="811"/>
      <c r="O76" s="811"/>
      <c r="P76" s="811"/>
      <c r="Q76" s="811"/>
      <c r="R76" s="811"/>
    </row>
    <row r="77" spans="1:18" s="462" customFormat="1" ht="16.350000000000001" customHeight="1">
      <c r="C77" s="559"/>
      <c r="D77" s="559"/>
      <c r="E77" s="837"/>
      <c r="G77" s="811"/>
      <c r="H77" s="811"/>
      <c r="I77" s="812"/>
      <c r="J77" s="811"/>
      <c r="K77" s="811"/>
      <c r="L77" s="811"/>
      <c r="M77" s="811"/>
      <c r="N77" s="811"/>
      <c r="O77" s="811"/>
      <c r="P77" s="811"/>
      <c r="Q77" s="811"/>
      <c r="R77" s="811"/>
    </row>
    <row r="78" spans="1:18" s="462" customFormat="1" ht="16.350000000000001" customHeight="1">
      <c r="C78" s="559"/>
      <c r="D78" s="559"/>
      <c r="E78" s="837"/>
      <c r="G78" s="811"/>
      <c r="H78" s="811"/>
      <c r="I78" s="812"/>
      <c r="J78" s="811"/>
      <c r="K78" s="811"/>
      <c r="L78" s="811"/>
      <c r="M78" s="811"/>
      <c r="N78" s="811"/>
      <c r="O78" s="811"/>
      <c r="P78" s="811"/>
      <c r="Q78" s="811"/>
      <c r="R78" s="811"/>
    </row>
    <row r="79" spans="1:18" s="462" customFormat="1" ht="16.350000000000001" customHeight="1">
      <c r="C79" s="559"/>
      <c r="D79" s="559"/>
      <c r="E79" s="837"/>
      <c r="G79" s="811"/>
      <c r="H79" s="811"/>
      <c r="I79" s="812"/>
      <c r="J79" s="811"/>
      <c r="K79" s="811"/>
      <c r="L79" s="811"/>
      <c r="M79" s="811"/>
      <c r="N79" s="811"/>
      <c r="O79" s="811"/>
      <c r="P79" s="811"/>
      <c r="Q79" s="811"/>
      <c r="R79" s="811"/>
    </row>
    <row r="80" spans="1:18" s="462" customFormat="1" ht="16.350000000000001" customHeight="1">
      <c r="C80" s="559"/>
      <c r="D80" s="559"/>
      <c r="E80" s="837"/>
      <c r="G80" s="811"/>
      <c r="H80" s="811"/>
      <c r="I80" s="812"/>
      <c r="J80" s="811"/>
      <c r="K80" s="811"/>
      <c r="L80" s="811"/>
      <c r="M80" s="811"/>
      <c r="N80" s="811"/>
      <c r="O80" s="811"/>
      <c r="P80" s="811"/>
      <c r="Q80" s="811"/>
      <c r="R80" s="811"/>
    </row>
    <row r="81" spans="1:18" s="462" customFormat="1" ht="16.350000000000001" customHeight="1">
      <c r="C81" s="559"/>
      <c r="D81" s="559"/>
      <c r="E81" s="837"/>
      <c r="G81" s="811"/>
      <c r="H81" s="811"/>
      <c r="I81" s="812"/>
      <c r="J81" s="811"/>
      <c r="K81" s="811"/>
      <c r="L81" s="811"/>
      <c r="M81" s="811"/>
      <c r="N81" s="811"/>
      <c r="O81" s="811"/>
      <c r="P81" s="811"/>
      <c r="Q81" s="811"/>
      <c r="R81" s="811"/>
    </row>
    <row r="82" spans="1:18" s="462" customFormat="1" ht="16.350000000000001" customHeight="1">
      <c r="C82" s="559"/>
      <c r="D82" s="559"/>
      <c r="E82" s="837"/>
      <c r="G82" s="811"/>
      <c r="H82" s="811"/>
      <c r="I82" s="812"/>
      <c r="J82" s="811"/>
      <c r="K82" s="811"/>
      <c r="L82" s="811"/>
      <c r="M82" s="811"/>
      <c r="N82" s="811"/>
      <c r="O82" s="811"/>
      <c r="P82" s="811"/>
      <c r="Q82" s="811"/>
      <c r="R82" s="811"/>
    </row>
    <row r="83" spans="1:18" s="462" customFormat="1" ht="16.350000000000001" customHeight="1">
      <c r="C83" s="559"/>
      <c r="D83" s="559"/>
      <c r="E83" s="837"/>
      <c r="G83" s="811"/>
      <c r="H83" s="811"/>
      <c r="I83" s="812"/>
      <c r="J83" s="811"/>
      <c r="K83" s="811"/>
      <c r="L83" s="811"/>
      <c r="M83" s="811"/>
      <c r="N83" s="811"/>
      <c r="O83" s="811"/>
      <c r="P83" s="811"/>
      <c r="Q83" s="811"/>
      <c r="R83" s="811"/>
    </row>
    <row r="84" spans="1:18" s="462" customFormat="1" ht="16.350000000000001" customHeight="1">
      <c r="C84" s="559"/>
      <c r="D84" s="559"/>
      <c r="E84" s="837"/>
      <c r="G84" s="811"/>
      <c r="H84" s="811"/>
      <c r="I84" s="812"/>
      <c r="J84" s="811"/>
      <c r="K84" s="811"/>
      <c r="L84" s="811"/>
      <c r="M84" s="811"/>
      <c r="N84" s="811"/>
      <c r="O84" s="811"/>
      <c r="P84" s="811"/>
      <c r="Q84" s="811"/>
      <c r="R84" s="811"/>
    </row>
    <row r="85" spans="1:18" s="462" customFormat="1" ht="9.6" customHeight="1">
      <c r="C85" s="559"/>
      <c r="D85" s="559"/>
      <c r="E85" s="837"/>
      <c r="G85" s="811"/>
      <c r="H85" s="811"/>
      <c r="I85" s="812"/>
      <c r="J85" s="811"/>
      <c r="K85" s="811"/>
      <c r="L85" s="811"/>
      <c r="M85" s="811"/>
      <c r="N85" s="811"/>
      <c r="O85" s="811"/>
      <c r="P85" s="811"/>
      <c r="Q85" s="811"/>
      <c r="R85" s="811"/>
    </row>
    <row r="86" spans="1:18" s="462" customFormat="1" ht="7.35" customHeight="1">
      <c r="C86" s="559"/>
      <c r="D86" s="559"/>
      <c r="E86" s="837"/>
      <c r="G86" s="811"/>
      <c r="H86" s="811"/>
      <c r="I86" s="812"/>
      <c r="J86" s="811"/>
      <c r="K86" s="811"/>
      <c r="L86" s="811"/>
      <c r="M86" s="811"/>
      <c r="N86" s="811"/>
      <c r="O86" s="811"/>
      <c r="P86" s="811"/>
      <c r="Q86" s="811"/>
      <c r="R86" s="811"/>
    </row>
    <row r="87" spans="1:18" s="462" customFormat="1" ht="7.5" customHeight="1">
      <c r="C87" s="559"/>
      <c r="D87" s="559"/>
      <c r="E87" s="837"/>
      <c r="G87" s="811"/>
      <c r="H87" s="811"/>
      <c r="I87" s="812"/>
      <c r="J87" s="811"/>
      <c r="K87" s="811"/>
      <c r="L87" s="811"/>
      <c r="M87" s="811"/>
      <c r="N87" s="811"/>
      <c r="O87" s="811"/>
      <c r="P87" s="811"/>
      <c r="Q87" s="811"/>
      <c r="R87" s="811"/>
    </row>
    <row r="88" spans="1:18" s="462" customFormat="1" ht="16.350000000000001" customHeight="1">
      <c r="C88" s="559"/>
      <c r="D88" s="559"/>
      <c r="E88" s="837"/>
      <c r="G88" s="811"/>
      <c r="H88" s="811"/>
      <c r="I88" s="812"/>
      <c r="J88" s="811"/>
      <c r="K88" s="811"/>
      <c r="L88" s="811"/>
      <c r="M88" s="811"/>
      <c r="N88" s="811"/>
      <c r="O88" s="811"/>
      <c r="P88" s="811"/>
      <c r="Q88" s="811"/>
      <c r="R88" s="811"/>
    </row>
    <row r="89" spans="1:18" s="462" customFormat="1" ht="16.350000000000001" customHeight="1">
      <c r="A89" s="1146" t="s">
        <v>1125</v>
      </c>
      <c r="B89" s="1147"/>
      <c r="C89" s="1148" t="s">
        <v>369</v>
      </c>
      <c r="D89" s="1148"/>
      <c r="E89" s="881" t="s">
        <v>1126</v>
      </c>
      <c r="G89" s="811"/>
      <c r="H89" s="811" t="s">
        <v>523</v>
      </c>
      <c r="I89" s="812"/>
      <c r="J89" s="811"/>
      <c r="K89" s="811"/>
      <c r="L89" s="811"/>
      <c r="M89" s="811"/>
      <c r="N89" s="811"/>
      <c r="O89" s="811"/>
      <c r="P89" s="811"/>
      <c r="Q89" s="811"/>
      <c r="R89" s="811"/>
    </row>
    <row r="90" spans="1:18" ht="9.75" customHeight="1">
      <c r="A90" s="215"/>
      <c r="B90" s="215"/>
      <c r="C90" s="215"/>
      <c r="D90" s="215"/>
      <c r="E90" s="744"/>
      <c r="F90" s="327"/>
      <c r="H90" s="803"/>
      <c r="I90" s="803"/>
    </row>
    <row r="91" spans="1:18" s="567" customFormat="1" ht="12">
      <c r="A91" s="563"/>
      <c r="B91" s="564" t="s">
        <v>370</v>
      </c>
      <c r="C91" s="565" t="s">
        <v>298</v>
      </c>
      <c r="D91" s="565" t="s">
        <v>655</v>
      </c>
      <c r="E91" s="743"/>
      <c r="F91" s="566"/>
      <c r="G91" s="804"/>
      <c r="H91" s="805" t="s">
        <v>297</v>
      </c>
      <c r="I91" s="805"/>
      <c r="J91" s="804" t="s">
        <v>786</v>
      </c>
      <c r="K91" s="804"/>
      <c r="L91" s="804"/>
      <c r="M91" s="804"/>
      <c r="N91" s="804"/>
      <c r="O91" s="804"/>
      <c r="P91" s="804"/>
      <c r="Q91" s="804"/>
      <c r="R91" s="804"/>
    </row>
    <row r="92" spans="1:18" ht="27.6" customHeight="1">
      <c r="A92" s="215"/>
      <c r="B92" s="546" t="s">
        <v>355</v>
      </c>
      <c r="C92" s="873" t="str">
        <f>WIEA!B34</f>
        <v>Is an agreement in place between Exporting and Importing Utility for the purchase of water?</v>
      </c>
      <c r="D92" s="329"/>
      <c r="E92" s="743" t="str">
        <f>IFERROR(IF(OR($D$96="",$H92=10,NOT(ISNUMBER($H92))),"",IF(H92=$H$96,"Limiting","")),"")</f>
        <v/>
      </c>
      <c r="F92" s="327"/>
      <c r="G92" s="813">
        <f t="shared" ref="G92" si="6">IF(LEN(D92)&gt;0,1,0)</f>
        <v>0</v>
      </c>
      <c r="H92" s="807" t="e">
        <f>VLOOKUP('Interactive Data Grading'!D92,WIEA!$C$6:$G$16,5,FALSE)</f>
        <v>#N/A</v>
      </c>
      <c r="I92" s="806"/>
    </row>
    <row r="93" spans="1:18" ht="27.6" customHeight="1">
      <c r="A93" s="215"/>
      <c r="B93" s="546" t="s">
        <v>356</v>
      </c>
      <c r="C93" s="873" t="str">
        <f>WIEA!B35</f>
        <v>Are meter accuracy testing or electronic calibration requirements stipulated in the water purchase agreement?</v>
      </c>
      <c r="D93" s="329"/>
      <c r="E93" s="743" t="str">
        <f t="shared" ref="E93:E95" si="7">IFERROR(IF(OR($D$96="",$H93=10,NOT(ISNUMBER($H93))),"",IF(H93=$H$96,"Limiting","")),"")</f>
        <v/>
      </c>
      <c r="F93" s="327"/>
      <c r="G93" s="813">
        <f>IF(OR(LEN(D93)&gt;0,D92=WIEA!$C$23),1,0)</f>
        <v>0</v>
      </c>
      <c r="H93" s="807" t="e">
        <f>VLOOKUP('Interactive Data Grading'!D93,WIEA!$D$6:$G$16,4,FALSE)</f>
        <v>#N/A</v>
      </c>
      <c r="I93" s="806"/>
      <c r="J93" s="799" t="s">
        <v>355</v>
      </c>
    </row>
    <row r="94" spans="1:18" ht="27.6" customHeight="1">
      <c r="A94" s="215"/>
      <c r="B94" s="546" t="s">
        <v>357</v>
      </c>
      <c r="C94" s="873" t="str">
        <f>WIEA!B36</f>
        <v>Are flow accuracy test and/or electronic calibration results used to inform the error adjustment input in the water audit?</v>
      </c>
      <c r="D94" s="329"/>
      <c r="E94" s="743" t="str">
        <f t="shared" si="7"/>
        <v/>
      </c>
      <c r="F94" s="327"/>
      <c r="G94" s="813">
        <f t="shared" ref="G94:G95" si="8">IF(LEN(D94)&gt;0,1,0)</f>
        <v>0</v>
      </c>
      <c r="H94" s="807" t="e">
        <f>VLOOKUP('Interactive Data Grading'!D94,WIEA!$E$6:$G$16,3,FALSE)</f>
        <v>#N/A</v>
      </c>
      <c r="I94" s="806"/>
    </row>
    <row r="95" spans="1:18" ht="27.6" customHeight="1">
      <c r="A95" s="215"/>
      <c r="B95" s="546" t="s">
        <v>358</v>
      </c>
      <c r="C95" s="873" t="str">
        <f>WIEA!B37</f>
        <v>Who has access to the import meter readings including current and archived data?</v>
      </c>
      <c r="D95" s="329"/>
      <c r="E95" s="743" t="str">
        <f t="shared" si="7"/>
        <v/>
      </c>
      <c r="F95" s="327"/>
      <c r="G95" s="813">
        <f t="shared" si="8"/>
        <v>0</v>
      </c>
      <c r="H95" s="807" t="e">
        <f>VLOOKUP('Interactive Data Grading'!D95,WIEA!$F$6:$G$16,2,FALSE)</f>
        <v>#N/A</v>
      </c>
      <c r="I95" s="806"/>
    </row>
    <row r="96" spans="1:18" ht="27.6" customHeight="1">
      <c r="A96" s="215"/>
      <c r="B96" s="215"/>
      <c r="C96" s="328" t="s">
        <v>308</v>
      </c>
      <c r="D96" s="884" t="str">
        <f>IF(D62="No","n/a",IF(G96=0,"",H96))</f>
        <v/>
      </c>
      <c r="E96" s="743"/>
      <c r="F96" s="327"/>
      <c r="G96" s="813">
        <f>MIN(G92:G95)</f>
        <v>0</v>
      </c>
      <c r="H96" s="810">
        <f t="array" ref="H96">MIN(IF(ISNUMBER(H92:H95),H92:H95))</f>
        <v>0</v>
      </c>
      <c r="I96" s="806"/>
    </row>
    <row r="97" spans="1:18" s="462" customFormat="1" ht="16.350000000000001" customHeight="1">
      <c r="C97" s="559"/>
      <c r="D97" s="559"/>
      <c r="E97" s="837"/>
      <c r="G97" s="811"/>
      <c r="H97" s="811"/>
      <c r="I97" s="812"/>
      <c r="J97" s="811"/>
      <c r="K97" s="811"/>
      <c r="L97" s="811"/>
      <c r="M97" s="811"/>
      <c r="N97" s="811"/>
      <c r="O97" s="811"/>
      <c r="P97" s="811"/>
      <c r="Q97" s="811"/>
      <c r="R97" s="811"/>
    </row>
    <row r="98" spans="1:18" s="462" customFormat="1" ht="16.350000000000001" customHeight="1">
      <c r="C98" s="559"/>
      <c r="D98" s="559"/>
      <c r="E98" s="837"/>
      <c r="G98" s="811"/>
      <c r="H98" s="811"/>
      <c r="I98" s="812"/>
      <c r="J98" s="811"/>
      <c r="K98" s="811"/>
      <c r="L98" s="811"/>
      <c r="M98" s="811"/>
      <c r="N98" s="811"/>
      <c r="O98" s="811"/>
      <c r="P98" s="811"/>
      <c r="Q98" s="811"/>
      <c r="R98" s="811"/>
    </row>
    <row r="99" spans="1:18" s="462" customFormat="1" ht="16.350000000000001" customHeight="1">
      <c r="C99" s="559"/>
      <c r="D99" s="559"/>
      <c r="E99" s="837"/>
      <c r="G99" s="811"/>
      <c r="H99" s="811"/>
      <c r="I99" s="812"/>
      <c r="J99" s="811"/>
      <c r="K99" s="811"/>
      <c r="L99" s="811"/>
      <c r="M99" s="811"/>
      <c r="N99" s="811"/>
      <c r="O99" s="811"/>
      <c r="P99" s="811"/>
      <c r="Q99" s="811"/>
      <c r="R99" s="811"/>
    </row>
    <row r="100" spans="1:18" s="462" customFormat="1" ht="16.350000000000001" customHeight="1">
      <c r="C100" s="559"/>
      <c r="D100" s="559"/>
      <c r="E100" s="837"/>
      <c r="G100" s="811"/>
      <c r="H100" s="811"/>
      <c r="I100" s="812"/>
      <c r="J100" s="811"/>
      <c r="K100" s="811"/>
      <c r="L100" s="811"/>
      <c r="M100" s="811"/>
      <c r="N100" s="811"/>
      <c r="O100" s="811"/>
      <c r="P100" s="811"/>
      <c r="Q100" s="811"/>
      <c r="R100" s="811"/>
    </row>
    <row r="101" spans="1:18" s="462" customFormat="1" ht="16.350000000000001" customHeight="1">
      <c r="C101" s="559"/>
      <c r="D101" s="559"/>
      <c r="E101" s="837"/>
      <c r="G101" s="811"/>
      <c r="H101" s="811"/>
      <c r="I101" s="812"/>
      <c r="J101" s="811"/>
      <c r="K101" s="811"/>
      <c r="L101" s="811"/>
      <c r="M101" s="811"/>
      <c r="N101" s="811"/>
      <c r="O101" s="811"/>
      <c r="P101" s="811"/>
      <c r="Q101" s="811"/>
      <c r="R101" s="811"/>
    </row>
    <row r="102" spans="1:18" s="462" customFormat="1" ht="16.350000000000001" customHeight="1">
      <c r="C102" s="559"/>
      <c r="D102" s="559"/>
      <c r="E102" s="837"/>
      <c r="G102" s="811"/>
      <c r="H102" s="811"/>
      <c r="I102" s="812"/>
      <c r="J102" s="811"/>
      <c r="K102" s="811"/>
      <c r="L102" s="811"/>
      <c r="M102" s="811"/>
      <c r="N102" s="811"/>
      <c r="O102" s="811"/>
      <c r="P102" s="811"/>
      <c r="Q102" s="811"/>
      <c r="R102" s="811"/>
    </row>
    <row r="103" spans="1:18" s="462" customFormat="1" ht="16.350000000000001" customHeight="1">
      <c r="C103" s="559"/>
      <c r="D103" s="559"/>
      <c r="E103" s="837"/>
      <c r="G103" s="811"/>
      <c r="H103" s="811"/>
      <c r="I103" s="812"/>
      <c r="J103" s="811"/>
      <c r="K103" s="811"/>
      <c r="L103" s="811"/>
      <c r="M103" s="811"/>
      <c r="N103" s="811"/>
      <c r="O103" s="811"/>
      <c r="P103" s="811"/>
      <c r="Q103" s="811"/>
      <c r="R103" s="811"/>
    </row>
    <row r="104" spans="1:18" s="462" customFormat="1" ht="16.350000000000001" customHeight="1">
      <c r="C104" s="559"/>
      <c r="D104" s="559"/>
      <c r="E104" s="837"/>
      <c r="G104" s="811"/>
      <c r="H104" s="811"/>
      <c r="I104" s="812"/>
      <c r="J104" s="811"/>
      <c r="K104" s="811"/>
      <c r="L104" s="811"/>
      <c r="M104" s="811"/>
      <c r="N104" s="811"/>
      <c r="O104" s="811"/>
      <c r="P104" s="811"/>
      <c r="Q104" s="811"/>
      <c r="R104" s="811"/>
    </row>
    <row r="105" spans="1:18" s="462" customFormat="1" ht="16.350000000000001" customHeight="1">
      <c r="C105" s="559"/>
      <c r="D105" s="559"/>
      <c r="E105" s="837"/>
      <c r="G105" s="811"/>
      <c r="H105" s="811"/>
      <c r="I105" s="812"/>
      <c r="J105" s="811"/>
      <c r="K105" s="811"/>
      <c r="L105" s="811"/>
      <c r="M105" s="811"/>
      <c r="N105" s="811"/>
      <c r="O105" s="811"/>
      <c r="P105" s="811"/>
      <c r="Q105" s="811"/>
      <c r="R105" s="811"/>
    </row>
    <row r="106" spans="1:18" s="462" customFormat="1" ht="16.350000000000001" customHeight="1">
      <c r="C106" s="559"/>
      <c r="D106" s="559"/>
      <c r="E106" s="837"/>
      <c r="G106" s="811"/>
      <c r="H106" s="811"/>
      <c r="I106" s="812"/>
      <c r="J106" s="811"/>
      <c r="K106" s="811"/>
      <c r="L106" s="811"/>
      <c r="M106" s="811"/>
      <c r="N106" s="811"/>
      <c r="O106" s="811"/>
      <c r="P106" s="811"/>
      <c r="Q106" s="811"/>
      <c r="R106" s="811"/>
    </row>
    <row r="107" spans="1:18" s="462" customFormat="1" ht="16.350000000000001" customHeight="1">
      <c r="C107" s="559"/>
      <c r="D107" s="559"/>
      <c r="E107" s="837"/>
      <c r="G107" s="811"/>
      <c r="H107" s="811"/>
      <c r="I107" s="812"/>
      <c r="J107" s="811"/>
      <c r="K107" s="811"/>
      <c r="L107" s="811"/>
      <c r="M107" s="811"/>
      <c r="N107" s="811"/>
      <c r="O107" s="811"/>
      <c r="P107" s="811"/>
      <c r="Q107" s="811"/>
      <c r="R107" s="811"/>
    </row>
    <row r="108" spans="1:18" s="462" customFormat="1" ht="16.350000000000001" customHeight="1">
      <c r="C108" s="559"/>
      <c r="D108" s="559"/>
      <c r="E108" s="837"/>
      <c r="G108" s="811"/>
      <c r="H108" s="811"/>
      <c r="I108" s="812"/>
      <c r="J108" s="811"/>
      <c r="K108" s="811"/>
      <c r="L108" s="811"/>
      <c r="M108" s="811"/>
      <c r="N108" s="811"/>
      <c r="O108" s="811"/>
      <c r="P108" s="811"/>
      <c r="Q108" s="811"/>
      <c r="R108" s="811"/>
    </row>
    <row r="109" spans="1:18" s="462" customFormat="1" ht="16.350000000000001" customHeight="1">
      <c r="C109" s="559"/>
      <c r="D109" s="559"/>
      <c r="E109" s="837"/>
      <c r="G109" s="811"/>
      <c r="H109" s="811"/>
      <c r="I109" s="812"/>
      <c r="J109" s="811"/>
      <c r="K109" s="811"/>
      <c r="L109" s="811"/>
      <c r="M109" s="811"/>
      <c r="N109" s="811"/>
      <c r="O109" s="811"/>
      <c r="P109" s="811"/>
      <c r="Q109" s="811"/>
      <c r="R109" s="811"/>
    </row>
    <row r="110" spans="1:18" s="462" customFormat="1" ht="16.350000000000001" customHeight="1">
      <c r="C110" s="559"/>
      <c r="D110" s="559"/>
      <c r="E110" s="837"/>
      <c r="G110" s="811"/>
      <c r="H110" s="811"/>
      <c r="I110" s="812"/>
      <c r="J110" s="811"/>
      <c r="K110" s="811"/>
      <c r="L110" s="811"/>
      <c r="M110" s="811"/>
      <c r="N110" s="811"/>
      <c r="O110" s="811"/>
      <c r="P110" s="811"/>
      <c r="Q110" s="811"/>
      <c r="R110" s="811"/>
    </row>
    <row r="111" spans="1:18" s="462" customFormat="1" ht="16.350000000000001" customHeight="1">
      <c r="C111" s="559"/>
      <c r="D111" s="559"/>
      <c r="E111" s="837"/>
      <c r="G111" s="811"/>
      <c r="H111" s="811"/>
      <c r="I111" s="812"/>
      <c r="J111" s="811"/>
      <c r="K111" s="811"/>
      <c r="L111" s="811"/>
      <c r="M111" s="811"/>
      <c r="N111" s="811"/>
      <c r="O111" s="811"/>
      <c r="P111" s="811"/>
      <c r="Q111" s="811"/>
      <c r="R111" s="811"/>
    </row>
    <row r="112" spans="1:18" s="462" customFormat="1" ht="16.350000000000001" customHeight="1">
      <c r="A112" s="1146" t="s">
        <v>1125</v>
      </c>
      <c r="B112" s="1147"/>
      <c r="C112" s="1148" t="s">
        <v>371</v>
      </c>
      <c r="D112" s="1148"/>
      <c r="E112" s="881" t="s">
        <v>1126</v>
      </c>
      <c r="G112" s="811"/>
      <c r="H112" s="811"/>
      <c r="I112" s="812"/>
      <c r="J112" s="811"/>
      <c r="K112" s="811"/>
      <c r="L112" s="811"/>
      <c r="M112" s="811"/>
      <c r="N112" s="811"/>
      <c r="O112" s="811"/>
      <c r="P112" s="811"/>
      <c r="Q112" s="811"/>
      <c r="R112" s="811"/>
    </row>
    <row r="113" spans="1:18" ht="12.6" customHeight="1">
      <c r="A113" s="215"/>
      <c r="B113" s="215"/>
      <c r="C113" s="1149" t="str">
        <f>IF(OR(AND(D115="Yes",Worksheet!H17&gt;0),AND(D115="No",Worksheet!H17&lt;=0),LEN(D115)=0),"","Inconsistency between Worksheet WE input and we.0 response")</f>
        <v/>
      </c>
      <c r="D113" s="1149"/>
      <c r="E113" s="744"/>
      <c r="F113" s="327"/>
      <c r="H113" s="803"/>
      <c r="I113" s="803"/>
    </row>
    <row r="114" spans="1:18" s="567" customFormat="1" ht="12">
      <c r="A114" s="563"/>
      <c r="B114" s="564" t="s">
        <v>372</v>
      </c>
      <c r="C114" s="565" t="s">
        <v>298</v>
      </c>
      <c r="D114" s="565" t="s">
        <v>655</v>
      </c>
      <c r="E114" s="743"/>
      <c r="F114" s="566"/>
      <c r="G114" s="804"/>
      <c r="H114" s="805" t="s">
        <v>297</v>
      </c>
      <c r="I114" s="805" t="s">
        <v>290</v>
      </c>
      <c r="J114" s="804" t="s">
        <v>786</v>
      </c>
      <c r="K114" s="804"/>
      <c r="L114" s="804"/>
      <c r="M114" s="804"/>
      <c r="N114" s="804"/>
      <c r="O114" s="804"/>
      <c r="P114" s="804"/>
      <c r="Q114" s="804"/>
      <c r="R114" s="804"/>
    </row>
    <row r="115" spans="1:18" ht="18" customHeight="1">
      <c r="A115" s="215"/>
      <c r="B115" s="215" t="s">
        <v>434</v>
      </c>
      <c r="C115" s="873" t="str">
        <f>WE!B34</f>
        <v>Did the water utility export any water during the audit year?</v>
      </c>
      <c r="D115" s="329"/>
      <c r="E115" s="743"/>
      <c r="F115" s="327"/>
      <c r="H115" s="799" t="s">
        <v>522</v>
      </c>
      <c r="I115" s="806"/>
      <c r="J115" s="799" t="s">
        <v>785</v>
      </c>
    </row>
    <row r="116" spans="1:18" ht="17.399999999999999" customHeight="1">
      <c r="A116" s="215"/>
      <c r="B116" s="215" t="s">
        <v>373</v>
      </c>
      <c r="C116" s="873" t="str">
        <f>WE!B35</f>
        <v>What percent of water exported is metered?</v>
      </c>
      <c r="D116" s="329"/>
      <c r="E116" s="743" t="str">
        <f>IF(OR(D127=10,NOT(ISNUMBER(D127))),"",IF(I116=I127,"Limiting",IF(VLOOKUP(D116,$P$7:$Q$15,2,FALSE)=0,"Limiting","")))</f>
        <v/>
      </c>
      <c r="F116" s="327"/>
      <c r="G116" s="799">
        <f>IF(LEN(D116)&gt;0,1,0)</f>
        <v>0</v>
      </c>
      <c r="H116" s="807" t="e">
        <f>VLOOKUP('Interactive Data Grading'!D116,WE!$C$6:$M$16,11,FALSE)</f>
        <v>#N/A</v>
      </c>
      <c r="I116" s="807" t="e">
        <f>H116</f>
        <v>#N/A</v>
      </c>
    </row>
    <row r="117" spans="1:18" ht="68.25" customHeight="1">
      <c r="A117" s="215"/>
      <c r="C117" s="1150" t="s">
        <v>1219</v>
      </c>
      <c r="D117" s="1151"/>
      <c r="E117" s="743"/>
      <c r="F117" s="327"/>
      <c r="H117" s="807"/>
      <c r="I117" s="808"/>
    </row>
    <row r="118" spans="1:18" ht="18" customHeight="1">
      <c r="A118" s="215"/>
      <c r="B118" s="215" t="s">
        <v>374</v>
      </c>
      <c r="C118" s="873" t="str">
        <f>WE!B36</f>
        <v>What is the frequency of electronic calibration?</v>
      </c>
      <c r="D118" s="329"/>
      <c r="E118" s="743" t="str">
        <f>IFERROR(IF(OR($D$127=10,NOT(ISNUMBER($D$127))),"",IF(I118=$I$127,"Limiting","")),"")</f>
        <v/>
      </c>
      <c r="F118" s="327"/>
      <c r="G118" s="799" t="str">
        <f>IFERROR(IF(H116&lt;7,1,IF(LEN(D118)&gt;0,1,0)),"")</f>
        <v/>
      </c>
      <c r="H118" s="807" t="e">
        <f>VLOOKUP('Interactive Data Grading'!D118,WE!$D$6:$M$16,10,FALSE)</f>
        <v>#N/A</v>
      </c>
      <c r="I118" s="808" t="e">
        <f>IF(AND(H118&gt;=7,H121&gt;=7),MAX(H118,9),IF(AND(H118&gt;3,H118&lt;7,H121&gt;3,H121&lt;7),MAX(H118,H121),IF(H121&gt;=7,MAX(7,H118),H118)))</f>
        <v>#N/A</v>
      </c>
    </row>
    <row r="119" spans="1:18" ht="25.95" customHeight="1">
      <c r="A119" s="215"/>
      <c r="B119" s="215" t="s">
        <v>375</v>
      </c>
      <c r="C119" s="873" t="str">
        <f>WE!B37</f>
        <v>What level of data transfer errors are checked as part of the electronic calibration process?</v>
      </c>
      <c r="D119" s="334"/>
      <c r="E119" s="743" t="str">
        <f t="shared" ref="E119:E126" si="9">IFERROR(IF(OR($D$127=10,NOT(ISNUMBER($D$127))),"",IF(I119=$I$127,"Limiting","")),"")</f>
        <v/>
      </c>
      <c r="F119" s="327"/>
      <c r="G119" s="809" t="str">
        <f>IFERROR(IF(H116&lt;7,1,IF(OR(D118=WE!D23,D118=WE!D27),1,IF(LEN(D119)&gt;0,1,0))),"")</f>
        <v/>
      </c>
      <c r="H119" s="807" t="e">
        <f>VLOOKUP('Interactive Data Grading'!D119,WE!$E$6:$M$16,9,FALSE)</f>
        <v>#N/A</v>
      </c>
      <c r="I119" s="807" t="e">
        <f>IF(D118=WE!$D$23,NA(),H119)</f>
        <v>#N/A</v>
      </c>
      <c r="J119" s="799" t="s">
        <v>809</v>
      </c>
    </row>
    <row r="120" spans="1:18" ht="18" customHeight="1">
      <c r="A120" s="215"/>
      <c r="B120" s="215" t="s">
        <v>376</v>
      </c>
      <c r="C120" s="873" t="str">
        <f>WE!B38</f>
        <v>Is the most recent electronic calibration documentation available?</v>
      </c>
      <c r="D120" s="329"/>
      <c r="E120" s="743" t="str">
        <f t="shared" si="9"/>
        <v/>
      </c>
      <c r="F120" s="327"/>
      <c r="G120" s="799" t="str">
        <f>IFERROR(IF(H116&lt;7,1,IF(OR(D118=WE!D23,D118=WE!D27),1,IF(LEN(D120)&gt;0,1,0))),"")</f>
        <v/>
      </c>
      <c r="H120" s="807" t="e">
        <f>VLOOKUP('Interactive Data Grading'!D120,WE!$F$6:$M$16,8,FALSE)</f>
        <v>#N/A</v>
      </c>
      <c r="I120" s="808" t="e" cm="1">
        <f t="array" ref="I120">IF(D118=WE!D23,X,IF(AND(H120=5,H122=10),7,H120))</f>
        <v>#N/A</v>
      </c>
      <c r="J120" s="799" t="s">
        <v>374</v>
      </c>
    </row>
    <row r="121" spans="1:18" ht="16.2" customHeight="1">
      <c r="A121" s="215"/>
      <c r="B121" s="215" t="s">
        <v>377</v>
      </c>
      <c r="C121" s="873" t="str">
        <f>WE!B39</f>
        <v>What is the frequency of in-situ flow accuracy testing?</v>
      </c>
      <c r="D121" s="329"/>
      <c r="E121" s="743" t="str">
        <f t="shared" si="9"/>
        <v/>
      </c>
      <c r="F121" s="327"/>
      <c r="G121" s="799" t="str">
        <f>IFERROR(IF(H116&lt;7,1,IF(LEN(D121)&gt;0,1,0)),"")</f>
        <v/>
      </c>
      <c r="H121" s="807" t="e">
        <f>VLOOKUP('Interactive Data Grading'!D121,WE!$G$6:$M$16,7,FALSE)</f>
        <v>#N/A</v>
      </c>
      <c r="I121" s="808" t="e">
        <f>IF(AND(H118&gt;=7,H121&gt;=7),MAX(H121,9),IF(AND(H118&gt;3,H118&lt;7,H121&gt;3,H121&lt;7),MAX(H118,H121),IF(H118&gt;=7,MAX(7,H121),H121)))</f>
        <v>#N/A</v>
      </c>
    </row>
    <row r="122" spans="1:18" ht="19.95" customHeight="1">
      <c r="A122" s="215"/>
      <c r="B122" s="215" t="s">
        <v>378</v>
      </c>
      <c r="C122" s="873" t="str">
        <f>WE!B40</f>
        <v>Is the most recent in-situ flow accuracy testing documentation available?</v>
      </c>
      <c r="D122" s="329"/>
      <c r="E122" s="743" t="str">
        <f t="shared" si="9"/>
        <v/>
      </c>
      <c r="F122" s="327"/>
      <c r="G122" s="799" t="str">
        <f>IFERROR(IF(H116&lt;7,1,IF(D121=WE!G23,1,IF(LEN(D122)&gt;0,1,0))),"")</f>
        <v/>
      </c>
      <c r="H122" s="807" t="e">
        <f>VLOOKUP('Interactive Data Grading'!D122,WE!$H$6:$M$16,6,FALSE)</f>
        <v>#N/A</v>
      </c>
      <c r="I122" s="808" t="e">
        <f>IF(D121=WE!G23,X,IF(AND(H122=5,H120=10),7,H122))</f>
        <v>#N/A</v>
      </c>
      <c r="J122" s="799" t="s">
        <v>376</v>
      </c>
    </row>
    <row r="123" spans="1:18" ht="27" customHeight="1">
      <c r="A123" s="215"/>
      <c r="B123" s="215" t="s">
        <v>379</v>
      </c>
      <c r="C123" s="873" t="str">
        <f>WE!B41</f>
        <v>What are the total volume-weighted average results of in-situ flow accuracy testing (during or closest to audit year)?</v>
      </c>
      <c r="D123" s="329"/>
      <c r="E123" s="743" t="str">
        <f t="shared" si="9"/>
        <v/>
      </c>
      <c r="F123" s="327"/>
      <c r="G123" s="799" t="str">
        <f>IFERROR(IF(H116&lt;7,1,IF(OR(D121=WE!G23,D122=WE!H23),1,IF(LEN(D123)&gt;0,1,0))),"")</f>
        <v/>
      </c>
      <c r="H123" s="807" t="e">
        <f>VLOOKUP('Interactive Data Grading'!D123,WE!$I$6:$M$16,5,FALSE)</f>
        <v>#N/A</v>
      </c>
      <c r="I123" s="807" t="e">
        <f>IF(OR(D121=WE!G23,D122=WE!H23),X,H123)</f>
        <v>#N/A</v>
      </c>
      <c r="J123" s="799" t="s">
        <v>810</v>
      </c>
    </row>
    <row r="124" spans="1:18" ht="37.5" customHeight="1">
      <c r="A124" s="215"/>
      <c r="B124" s="215" t="s">
        <v>380</v>
      </c>
      <c r="C124" s="873" t="str">
        <f>WE!B42</f>
        <v>Have testing and calibration procedures been closely scrutinized for compliance with procedures described in the AWWA M36 and/or M33 Manual(s)?</v>
      </c>
      <c r="D124" s="329"/>
      <c r="E124" s="743" t="str">
        <f t="shared" si="9"/>
        <v/>
      </c>
      <c r="F124" s="327"/>
      <c r="G124" s="799" t="str">
        <f>IFERROR(IF(H116&lt;7,1,IF(AND(OR(D118=WE!D23,D118=WE!D27),D121=WE!G23),1,IF(LEN(D124)&gt;0,1,0))),"")</f>
        <v/>
      </c>
      <c r="H124" s="807" t="e">
        <f>VLOOKUP('Interactive Data Grading'!D124,WE!$J$6:$M$16,4,FALSE)</f>
        <v>#N/A</v>
      </c>
      <c r="I124" s="807" t="e">
        <f>IF(OR(D121=WE!G23,D122=WE!H23),X,H124)</f>
        <v>#N/A</v>
      </c>
      <c r="J124" s="809" t="s">
        <v>811</v>
      </c>
    </row>
    <row r="125" spans="1:18" ht="25.2" customHeight="1">
      <c r="A125" s="215"/>
      <c r="B125" s="215" t="s">
        <v>381</v>
      </c>
      <c r="C125" s="873" t="str">
        <f>WE!B43</f>
        <v>Which best describes the frequency of meter readings (data collection frequency as opposed to billing frequency)?</v>
      </c>
      <c r="D125" s="329"/>
      <c r="E125" s="743" t="str">
        <f t="shared" si="9"/>
        <v/>
      </c>
      <c r="F125" s="327"/>
      <c r="G125" s="799" t="str">
        <f>IFERROR(IF(H116&lt;7,1,IF(LEN(D125)&gt;0,1,0)),"")</f>
        <v/>
      </c>
      <c r="H125" s="807" t="e">
        <f>VLOOKUP('Interactive Data Grading'!D125,WE!$K$6:$M$16,3,FALSE)</f>
        <v>#N/A</v>
      </c>
      <c r="I125" s="807" t="e">
        <f>H125</f>
        <v>#N/A</v>
      </c>
    </row>
    <row r="126" spans="1:18" ht="44.4" customHeight="1">
      <c r="A126" s="215"/>
      <c r="B126" s="215" t="s">
        <v>807</v>
      </c>
      <c r="C126" s="87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43" t="str">
        <f t="shared" si="9"/>
        <v/>
      </c>
      <c r="F126" s="327"/>
      <c r="G126" s="799" t="str">
        <f>IFERROR(IF(H116&lt;7,1,IF(LEN(D126)&gt;0,1,0)),"")</f>
        <v/>
      </c>
      <c r="H126" s="807" t="e">
        <f>VLOOKUP('Interactive Data Grading'!D126,WE!$L$6:$M$16,2,FALSE)</f>
        <v>#N/A</v>
      </c>
      <c r="I126" s="807" t="e">
        <f>H126</f>
        <v>#N/A</v>
      </c>
    </row>
    <row r="127" spans="1:18" ht="27.6" customHeight="1">
      <c r="A127" s="215"/>
      <c r="B127" s="215"/>
      <c r="C127" s="328" t="s">
        <v>308</v>
      </c>
      <c r="D127" s="746" t="str">
        <f>IF(D115="","",IF(D115="No","n/a",IF(G127=0,"",IF(R9=0,H116,I127))))</f>
        <v/>
      </c>
      <c r="E127" s="743"/>
      <c r="F127" s="327"/>
      <c r="G127" s="799">
        <f>MIN(G116:G126)</f>
        <v>0</v>
      </c>
      <c r="H127" s="810" t="e">
        <f>MIN(H116:H126)</f>
        <v>#N/A</v>
      </c>
      <c r="I127" s="810">
        <f t="array" ref="I127">MIN(IF(ISNUMBER(I116:I126),I116:I126))</f>
        <v>0</v>
      </c>
    </row>
    <row r="128" spans="1:18" s="462" customFormat="1" ht="16.350000000000001" customHeight="1">
      <c r="C128" s="559"/>
      <c r="D128" s="559"/>
      <c r="E128" s="837"/>
      <c r="G128" s="811"/>
      <c r="H128" s="811"/>
      <c r="I128" s="812"/>
      <c r="J128" s="811"/>
      <c r="K128" s="811"/>
      <c r="L128" s="811"/>
      <c r="M128" s="811"/>
      <c r="N128" s="811"/>
      <c r="O128" s="811"/>
      <c r="P128" s="811"/>
      <c r="Q128" s="811"/>
      <c r="R128" s="811"/>
    </row>
    <row r="129" spans="1:18" s="462" customFormat="1" ht="16.350000000000001" customHeight="1">
      <c r="C129" s="559"/>
      <c r="D129" s="559"/>
      <c r="E129" s="837"/>
      <c r="G129" s="811"/>
      <c r="H129" s="811"/>
      <c r="I129" s="812"/>
      <c r="J129" s="811"/>
      <c r="K129" s="811"/>
      <c r="L129" s="811"/>
      <c r="M129" s="811"/>
      <c r="N129" s="811"/>
      <c r="O129" s="811"/>
      <c r="P129" s="811"/>
      <c r="Q129" s="811"/>
      <c r="R129" s="811"/>
    </row>
    <row r="130" spans="1:18" s="462" customFormat="1" ht="16.350000000000001" customHeight="1">
      <c r="C130" s="559"/>
      <c r="D130" s="559"/>
      <c r="E130" s="837"/>
      <c r="G130" s="811"/>
      <c r="H130" s="811"/>
      <c r="I130" s="812"/>
      <c r="J130" s="811"/>
      <c r="K130" s="811"/>
      <c r="L130" s="811"/>
      <c r="M130" s="811"/>
      <c r="N130" s="811"/>
      <c r="O130" s="811"/>
      <c r="P130" s="811"/>
      <c r="Q130" s="811"/>
      <c r="R130" s="811"/>
    </row>
    <row r="131" spans="1:18" s="462" customFormat="1" ht="16.350000000000001" customHeight="1">
      <c r="C131" s="559"/>
      <c r="D131" s="559"/>
      <c r="E131" s="837"/>
      <c r="G131" s="811"/>
      <c r="H131" s="811"/>
      <c r="I131" s="812"/>
      <c r="J131" s="811"/>
      <c r="K131" s="811"/>
      <c r="L131" s="811"/>
      <c r="M131" s="811"/>
      <c r="N131" s="811"/>
      <c r="O131" s="811"/>
      <c r="P131" s="811"/>
      <c r="Q131" s="811"/>
      <c r="R131" s="811"/>
    </row>
    <row r="132" spans="1:18" s="462" customFormat="1" ht="16.350000000000001" customHeight="1">
      <c r="C132" s="559"/>
      <c r="D132" s="559"/>
      <c r="E132" s="837"/>
      <c r="G132" s="811"/>
      <c r="H132" s="811"/>
      <c r="I132" s="812"/>
      <c r="J132" s="811"/>
      <c r="K132" s="811"/>
      <c r="L132" s="811"/>
      <c r="M132" s="811"/>
      <c r="N132" s="811"/>
      <c r="O132" s="811"/>
      <c r="P132" s="811"/>
      <c r="Q132" s="811"/>
      <c r="R132" s="811"/>
    </row>
    <row r="133" spans="1:18" s="462" customFormat="1" ht="16.350000000000001" customHeight="1">
      <c r="C133" s="559"/>
      <c r="D133" s="559"/>
      <c r="E133" s="837"/>
      <c r="G133" s="811"/>
      <c r="H133" s="811"/>
      <c r="I133" s="812"/>
      <c r="J133" s="811"/>
      <c r="K133" s="811"/>
      <c r="L133" s="811"/>
      <c r="M133" s="811"/>
      <c r="N133" s="811"/>
      <c r="O133" s="811"/>
      <c r="P133" s="811"/>
      <c r="Q133" s="811"/>
      <c r="R133" s="811"/>
    </row>
    <row r="134" spans="1:18" s="462" customFormat="1" ht="13.35" customHeight="1">
      <c r="C134" s="559"/>
      <c r="D134" s="559"/>
      <c r="E134" s="837"/>
      <c r="G134" s="811"/>
      <c r="H134" s="811"/>
      <c r="I134" s="812"/>
      <c r="J134" s="811"/>
      <c r="K134" s="811"/>
      <c r="L134" s="811"/>
      <c r="M134" s="811"/>
      <c r="N134" s="811"/>
      <c r="O134" s="811"/>
      <c r="P134" s="811"/>
      <c r="Q134" s="811"/>
      <c r="R134" s="811"/>
    </row>
    <row r="135" spans="1:18" s="462" customFormat="1" ht="13.35" customHeight="1">
      <c r="C135" s="559"/>
      <c r="D135" s="559"/>
      <c r="E135" s="837"/>
      <c r="G135" s="811"/>
      <c r="H135" s="811"/>
      <c r="I135" s="812"/>
      <c r="J135" s="811"/>
      <c r="K135" s="811"/>
      <c r="L135" s="811"/>
      <c r="M135" s="811"/>
      <c r="N135" s="811"/>
      <c r="O135" s="811"/>
      <c r="P135" s="811"/>
      <c r="Q135" s="811"/>
      <c r="R135" s="811"/>
    </row>
    <row r="136" spans="1:18" s="462" customFormat="1" ht="13.35" customHeight="1">
      <c r="C136" s="559"/>
      <c r="D136" s="559"/>
      <c r="E136" s="837"/>
      <c r="G136" s="811"/>
      <c r="H136" s="811"/>
      <c r="I136" s="812"/>
      <c r="J136" s="811"/>
      <c r="K136" s="811"/>
      <c r="L136" s="811"/>
      <c r="M136" s="811"/>
      <c r="N136" s="811"/>
      <c r="O136" s="811"/>
      <c r="P136" s="811"/>
      <c r="Q136" s="811"/>
      <c r="R136" s="811"/>
    </row>
    <row r="137" spans="1:18" s="462" customFormat="1" ht="13.35" customHeight="1">
      <c r="C137" s="559"/>
      <c r="D137" s="559"/>
      <c r="E137" s="837"/>
      <c r="G137" s="811"/>
      <c r="H137" s="811"/>
      <c r="I137" s="812"/>
      <c r="J137" s="811"/>
      <c r="K137" s="811"/>
      <c r="L137" s="811"/>
      <c r="M137" s="811"/>
      <c r="N137" s="811"/>
      <c r="O137" s="811"/>
      <c r="P137" s="811"/>
      <c r="Q137" s="811"/>
      <c r="R137" s="811"/>
    </row>
    <row r="138" spans="1:18" s="462" customFormat="1" ht="4.5" customHeight="1">
      <c r="C138" s="559"/>
      <c r="D138" s="559"/>
      <c r="E138" s="837"/>
      <c r="G138" s="811"/>
      <c r="H138" s="811"/>
      <c r="I138" s="812"/>
      <c r="J138" s="811"/>
      <c r="K138" s="811"/>
      <c r="L138" s="811"/>
      <c r="M138" s="811"/>
      <c r="N138" s="811"/>
      <c r="O138" s="811"/>
      <c r="P138" s="811"/>
      <c r="Q138" s="811"/>
      <c r="R138" s="811"/>
    </row>
    <row r="139" spans="1:18" s="462" customFormat="1" ht="5.25" customHeight="1">
      <c r="C139" s="559"/>
      <c r="D139" s="559"/>
      <c r="E139" s="837"/>
      <c r="G139" s="811"/>
      <c r="H139" s="811"/>
      <c r="I139" s="812"/>
      <c r="J139" s="811"/>
      <c r="K139" s="811"/>
      <c r="L139" s="811"/>
      <c r="M139" s="811"/>
      <c r="N139" s="811"/>
      <c r="O139" s="811"/>
      <c r="P139" s="811"/>
      <c r="Q139" s="811"/>
      <c r="R139" s="811"/>
    </row>
    <row r="140" spans="1:18" s="462" customFormat="1" ht="3.75" customHeight="1">
      <c r="C140" s="559"/>
      <c r="D140" s="559"/>
      <c r="E140" s="837"/>
      <c r="G140" s="811"/>
      <c r="H140" s="811"/>
      <c r="I140" s="812"/>
      <c r="J140" s="811"/>
      <c r="K140" s="811"/>
      <c r="L140" s="811"/>
      <c r="M140" s="811"/>
      <c r="N140" s="811"/>
      <c r="O140" s="811"/>
      <c r="P140" s="811"/>
      <c r="Q140" s="811"/>
      <c r="R140" s="811"/>
    </row>
    <row r="141" spans="1:18" s="462" customFormat="1" ht="10.95" customHeight="1">
      <c r="C141" s="559"/>
      <c r="D141" s="559"/>
      <c r="E141" s="837"/>
      <c r="G141" s="811"/>
      <c r="H141" s="811"/>
      <c r="I141" s="812"/>
      <c r="J141" s="811"/>
      <c r="K141" s="811"/>
      <c r="L141" s="811"/>
      <c r="M141" s="811"/>
      <c r="N141" s="811"/>
      <c r="O141" s="811"/>
      <c r="P141" s="811"/>
      <c r="Q141" s="811"/>
      <c r="R141" s="811"/>
    </row>
    <row r="142" spans="1:18" s="462" customFormat="1" ht="8.4" customHeight="1">
      <c r="C142" s="559"/>
      <c r="D142" s="559"/>
      <c r="E142" s="837"/>
      <c r="G142" s="811"/>
      <c r="H142" s="811"/>
      <c r="I142" s="812"/>
      <c r="J142" s="811"/>
      <c r="K142" s="811"/>
      <c r="L142" s="811"/>
      <c r="M142" s="811"/>
      <c r="N142" s="811"/>
      <c r="O142" s="811"/>
      <c r="P142" s="811"/>
      <c r="Q142" s="811"/>
      <c r="R142" s="811"/>
    </row>
    <row r="143" spans="1:18" s="462" customFormat="1" ht="16.350000000000001" customHeight="1">
      <c r="A143" s="1146" t="s">
        <v>1125</v>
      </c>
      <c r="B143" s="1147"/>
      <c r="C143" s="1148" t="s">
        <v>387</v>
      </c>
      <c r="D143" s="1148"/>
      <c r="E143" s="881" t="s">
        <v>1126</v>
      </c>
      <c r="G143" s="811"/>
      <c r="H143" s="811" t="s">
        <v>522</v>
      </c>
      <c r="I143" s="812"/>
      <c r="J143" s="811"/>
      <c r="K143" s="811"/>
      <c r="L143" s="811"/>
      <c r="M143" s="811"/>
      <c r="N143" s="811"/>
      <c r="O143" s="811"/>
      <c r="P143" s="811"/>
      <c r="Q143" s="811"/>
      <c r="R143" s="811"/>
    </row>
    <row r="144" spans="1:18" ht="9.75" customHeight="1">
      <c r="A144" s="215"/>
      <c r="B144" s="215"/>
      <c r="C144" s="215"/>
      <c r="D144" s="215"/>
      <c r="E144" s="744"/>
      <c r="F144" s="327"/>
      <c r="I144" s="803"/>
    </row>
    <row r="145" spans="1:18" s="567" customFormat="1" ht="12">
      <c r="A145" s="563"/>
      <c r="B145" s="564" t="s">
        <v>382</v>
      </c>
      <c r="C145" s="565" t="s">
        <v>298</v>
      </c>
      <c r="D145" s="565" t="s">
        <v>655</v>
      </c>
      <c r="E145" s="743"/>
      <c r="F145" s="566"/>
      <c r="G145" s="804"/>
      <c r="H145" s="805" t="s">
        <v>297</v>
      </c>
      <c r="I145" s="805"/>
      <c r="J145" s="804" t="s">
        <v>786</v>
      </c>
      <c r="K145" s="804"/>
      <c r="L145" s="804"/>
      <c r="M145" s="804"/>
      <c r="N145" s="804"/>
      <c r="O145" s="804"/>
      <c r="P145" s="804"/>
      <c r="Q145" s="804"/>
      <c r="R145" s="804"/>
    </row>
    <row r="146" spans="1:18" ht="27.6" customHeight="1">
      <c r="A146" s="215"/>
      <c r="B146" s="546" t="s">
        <v>383</v>
      </c>
      <c r="C146" s="873" t="str">
        <f>WEEA!B34</f>
        <v>Is an agreement in place between Exporting and Importing Utility?</v>
      </c>
      <c r="D146" s="329"/>
      <c r="E146" s="743" t="str">
        <f>IFERROR(IF(OR($D$150="",$H146=10,NOT(ISNUMBER($H146))),"",IF(H146=$H$150,"Limiting","")),"")</f>
        <v/>
      </c>
      <c r="F146" s="327"/>
      <c r="G146" s="813">
        <f t="shared" ref="G146" si="10">IF(LEN(D146)&gt;0,1,0)</f>
        <v>0</v>
      </c>
      <c r="H146" s="807" t="e">
        <f>VLOOKUP('Interactive Data Grading'!D146,WEEA!$C$6:$G$16,5,FALSE)</f>
        <v>#N/A</v>
      </c>
      <c r="I146" s="807"/>
    </row>
    <row r="147" spans="1:18" ht="27.6" customHeight="1">
      <c r="A147" s="215"/>
      <c r="B147" s="546" t="s">
        <v>384</v>
      </c>
      <c r="C147" s="873" t="str">
        <f>WEEA!B35</f>
        <v>Are meter accuracy testing or electronic calibration requirements stipulated in the water purchase agreement?</v>
      </c>
      <c r="D147" s="329"/>
      <c r="E147" s="743" t="str">
        <f t="shared" ref="E147:E149" si="11">IFERROR(IF(OR($D$150="",$H147=10,NOT(ISNUMBER($H147))),"",IF(H147=$H$150,"Limiting","")),"")</f>
        <v/>
      </c>
      <c r="F147" s="327"/>
      <c r="G147" s="813">
        <f>IF(OR(LEN(D147)&gt;0,D146=WEEA!$C$23),1,0)</f>
        <v>0</v>
      </c>
      <c r="H147" s="807" t="e">
        <f>VLOOKUP('Interactive Data Grading'!D147,WEEA!$D$6:$G$16,4,FALSE)</f>
        <v>#N/A</v>
      </c>
      <c r="I147" s="808"/>
      <c r="J147" s="799" t="s">
        <v>383</v>
      </c>
    </row>
    <row r="148" spans="1:18" ht="27.6" customHeight="1">
      <c r="A148" s="215"/>
      <c r="B148" s="546" t="s">
        <v>385</v>
      </c>
      <c r="C148" s="873" t="str">
        <f>WEEA!B36</f>
        <v>Are flow accuracy test and/or electronic calibration results used to inform the error adjustment input in the water audit?</v>
      </c>
      <c r="D148" s="329"/>
      <c r="E148" s="743" t="str">
        <f t="shared" si="11"/>
        <v/>
      </c>
      <c r="F148" s="327"/>
      <c r="G148" s="813">
        <f t="shared" ref="G148:G149" si="12">IF(LEN(D148)&gt;0,1,0)</f>
        <v>0</v>
      </c>
      <c r="H148" s="807" t="e">
        <f>VLOOKUP('Interactive Data Grading'!D148,WEEA!$E$6:$G$16,3,FALSE)</f>
        <v>#N/A</v>
      </c>
      <c r="I148" s="808"/>
    </row>
    <row r="149" spans="1:18" ht="27.6" customHeight="1">
      <c r="A149" s="215"/>
      <c r="B149" s="546" t="s">
        <v>386</v>
      </c>
      <c r="C149" s="873" t="str">
        <f>WEEA!B37</f>
        <v>Who has access to the export meter readings including current and archived data?</v>
      </c>
      <c r="D149" s="329"/>
      <c r="E149" s="743" t="str">
        <f t="shared" si="11"/>
        <v/>
      </c>
      <c r="F149" s="327"/>
      <c r="G149" s="813">
        <f t="shared" si="12"/>
        <v>0</v>
      </c>
      <c r="H149" s="807" t="e">
        <f>VLOOKUP('Interactive Data Grading'!D149,WEEA!$F$6:$G$16,2,FALSE)</f>
        <v>#N/A</v>
      </c>
      <c r="I149" s="808"/>
    </row>
    <row r="150" spans="1:18" ht="27.6" customHeight="1">
      <c r="A150" s="215"/>
      <c r="B150" s="215"/>
      <c r="C150" s="328" t="s">
        <v>308</v>
      </c>
      <c r="D150" s="884" t="str">
        <f>IF(D115="No","n/a",IF(G150=0,"",H150))</f>
        <v/>
      </c>
      <c r="E150" s="743"/>
      <c r="F150" s="327"/>
      <c r="G150" s="813">
        <f>MIN(G146:G149)</f>
        <v>0</v>
      </c>
      <c r="H150" s="810">
        <f t="array" ref="H150">MIN(IF(ISNUMBER(H146:H149),H146:H149))</f>
        <v>0</v>
      </c>
      <c r="I150" s="810"/>
    </row>
    <row r="151" spans="1:18" s="462" customFormat="1" ht="16.350000000000001" customHeight="1">
      <c r="C151" s="559"/>
      <c r="D151" s="559"/>
      <c r="E151" s="837"/>
      <c r="G151" s="811"/>
      <c r="H151" s="811"/>
      <c r="I151" s="812"/>
      <c r="J151" s="811"/>
      <c r="K151" s="811"/>
      <c r="L151" s="811"/>
      <c r="M151" s="811"/>
      <c r="N151" s="811"/>
      <c r="O151" s="811"/>
      <c r="P151" s="811"/>
      <c r="Q151" s="811"/>
      <c r="R151" s="811"/>
    </row>
    <row r="152" spans="1:18" s="462" customFormat="1" ht="16.350000000000001" customHeight="1">
      <c r="C152" s="559"/>
      <c r="D152" s="559"/>
      <c r="E152" s="837"/>
      <c r="G152" s="811"/>
      <c r="H152" s="811"/>
      <c r="I152" s="812"/>
      <c r="J152" s="811"/>
      <c r="K152" s="811"/>
      <c r="L152" s="811"/>
      <c r="M152" s="811"/>
      <c r="N152" s="811"/>
      <c r="O152" s="811"/>
      <c r="P152" s="811"/>
      <c r="Q152" s="811"/>
      <c r="R152" s="811"/>
    </row>
    <row r="153" spans="1:18" s="462" customFormat="1" ht="16.350000000000001" customHeight="1">
      <c r="C153" s="559"/>
      <c r="D153" s="559"/>
      <c r="E153" s="837"/>
      <c r="G153" s="811"/>
      <c r="H153" s="811"/>
      <c r="I153" s="812"/>
      <c r="J153" s="811"/>
      <c r="K153" s="811"/>
      <c r="L153" s="811"/>
      <c r="M153" s="811"/>
      <c r="N153" s="811"/>
      <c r="O153" s="811"/>
      <c r="P153" s="811"/>
      <c r="Q153" s="811"/>
      <c r="R153" s="811"/>
    </row>
    <row r="154" spans="1:18" s="462" customFormat="1" ht="16.350000000000001" customHeight="1">
      <c r="C154" s="559"/>
      <c r="D154" s="559"/>
      <c r="E154" s="837"/>
      <c r="G154" s="811"/>
      <c r="H154" s="811"/>
      <c r="I154" s="812"/>
      <c r="J154" s="811"/>
      <c r="K154" s="811"/>
      <c r="L154" s="811"/>
      <c r="M154" s="811"/>
      <c r="N154" s="811"/>
      <c r="O154" s="811"/>
      <c r="P154" s="811"/>
      <c r="Q154" s="811"/>
      <c r="R154" s="811"/>
    </row>
    <row r="155" spans="1:18" s="462" customFormat="1" ht="16.350000000000001" customHeight="1">
      <c r="C155" s="559"/>
      <c r="D155" s="559"/>
      <c r="E155" s="837"/>
      <c r="G155" s="811"/>
      <c r="H155" s="811"/>
      <c r="I155" s="812"/>
      <c r="J155" s="811"/>
      <c r="K155" s="811"/>
      <c r="L155" s="811"/>
      <c r="M155" s="811"/>
      <c r="N155" s="811"/>
      <c r="O155" s="811"/>
      <c r="P155" s="811"/>
      <c r="Q155" s="811"/>
      <c r="R155" s="811"/>
    </row>
    <row r="156" spans="1:18" s="462" customFormat="1" ht="16.350000000000001" customHeight="1">
      <c r="C156" s="559"/>
      <c r="D156" s="559"/>
      <c r="E156" s="837"/>
      <c r="G156" s="811"/>
      <c r="H156" s="811"/>
      <c r="I156" s="812"/>
      <c r="J156" s="811"/>
      <c r="K156" s="811"/>
      <c r="L156" s="811"/>
      <c r="M156" s="811"/>
      <c r="N156" s="811"/>
      <c r="O156" s="811"/>
      <c r="P156" s="811"/>
      <c r="Q156" s="811"/>
      <c r="R156" s="811"/>
    </row>
    <row r="157" spans="1:18" s="462" customFormat="1" ht="16.350000000000001" customHeight="1">
      <c r="C157" s="559"/>
      <c r="D157" s="559"/>
      <c r="E157" s="837"/>
      <c r="G157" s="811"/>
      <c r="H157" s="811"/>
      <c r="I157" s="812"/>
      <c r="J157" s="811"/>
      <c r="K157" s="811"/>
      <c r="L157" s="811"/>
      <c r="M157" s="811"/>
      <c r="N157" s="811"/>
      <c r="O157" s="811"/>
      <c r="P157" s="811"/>
      <c r="Q157" s="811"/>
      <c r="R157" s="811"/>
    </row>
    <row r="158" spans="1:18" s="462" customFormat="1" ht="16.350000000000001" customHeight="1">
      <c r="C158" s="559"/>
      <c r="D158" s="559"/>
      <c r="E158" s="837"/>
      <c r="G158" s="811"/>
      <c r="H158" s="811"/>
      <c r="I158" s="812"/>
      <c r="J158" s="811"/>
      <c r="K158" s="811"/>
      <c r="L158" s="811"/>
      <c r="M158" s="811"/>
      <c r="N158" s="811"/>
      <c r="O158" s="811"/>
      <c r="P158" s="811"/>
      <c r="Q158" s="811"/>
      <c r="R158" s="811"/>
    </row>
    <row r="159" spans="1:18" s="462" customFormat="1" ht="16.350000000000001" customHeight="1">
      <c r="C159" s="559"/>
      <c r="D159" s="559"/>
      <c r="E159" s="837"/>
      <c r="G159" s="811"/>
      <c r="H159" s="811"/>
      <c r="I159" s="812"/>
      <c r="J159" s="811"/>
      <c r="K159" s="811"/>
      <c r="L159" s="811"/>
      <c r="M159" s="811"/>
      <c r="N159" s="811"/>
      <c r="O159" s="811"/>
      <c r="P159" s="811"/>
      <c r="Q159" s="811"/>
      <c r="R159" s="811"/>
    </row>
    <row r="160" spans="1:18" s="462" customFormat="1" ht="16.350000000000001" customHeight="1">
      <c r="C160" s="559"/>
      <c r="D160" s="559"/>
      <c r="E160" s="837"/>
      <c r="G160" s="811"/>
      <c r="H160" s="811"/>
      <c r="I160" s="812"/>
      <c r="J160" s="811"/>
      <c r="K160" s="811"/>
      <c r="L160" s="811"/>
      <c r="M160" s="811"/>
      <c r="N160" s="811"/>
      <c r="O160" s="811"/>
      <c r="P160" s="811"/>
      <c r="Q160" s="811"/>
      <c r="R160" s="811"/>
    </row>
    <row r="161" spans="1:18" s="462" customFormat="1" ht="16.350000000000001" customHeight="1">
      <c r="C161" s="559"/>
      <c r="D161" s="559"/>
      <c r="E161" s="837"/>
      <c r="G161" s="811"/>
      <c r="H161" s="811"/>
      <c r="I161" s="812"/>
      <c r="J161" s="811"/>
      <c r="K161" s="811"/>
      <c r="L161" s="811"/>
      <c r="M161" s="811"/>
      <c r="N161" s="811"/>
      <c r="O161" s="811"/>
      <c r="P161" s="811"/>
      <c r="Q161" s="811"/>
      <c r="R161" s="811"/>
    </row>
    <row r="162" spans="1:18" s="462" customFormat="1" ht="16.350000000000001" customHeight="1">
      <c r="C162" s="559"/>
      <c r="D162" s="559"/>
      <c r="E162" s="837"/>
      <c r="G162" s="811"/>
      <c r="H162" s="811"/>
      <c r="I162" s="812"/>
      <c r="J162" s="811"/>
      <c r="K162" s="811"/>
      <c r="L162" s="811"/>
      <c r="M162" s="811"/>
      <c r="N162" s="811"/>
      <c r="O162" s="811"/>
      <c r="P162" s="811"/>
      <c r="Q162" s="811"/>
      <c r="R162" s="811"/>
    </row>
    <row r="163" spans="1:18" s="462" customFormat="1" ht="16.350000000000001" customHeight="1">
      <c r="C163" s="559"/>
      <c r="D163" s="559"/>
      <c r="E163" s="837"/>
      <c r="G163" s="811"/>
      <c r="H163" s="811"/>
      <c r="I163" s="812"/>
      <c r="J163" s="811"/>
      <c r="K163" s="811"/>
      <c r="L163" s="811"/>
      <c r="M163" s="811"/>
      <c r="N163" s="811"/>
      <c r="O163" s="811"/>
      <c r="P163" s="811"/>
      <c r="Q163" s="811"/>
      <c r="R163" s="811"/>
    </row>
    <row r="164" spans="1:18" s="462" customFormat="1" ht="16.350000000000001" customHeight="1">
      <c r="C164" s="559"/>
      <c r="D164" s="559"/>
      <c r="E164" s="837"/>
      <c r="G164" s="811"/>
      <c r="H164" s="811"/>
      <c r="I164" s="812"/>
      <c r="J164" s="811"/>
      <c r="K164" s="811"/>
      <c r="L164" s="811"/>
      <c r="M164" s="811"/>
      <c r="N164" s="811"/>
      <c r="O164" s="811"/>
      <c r="P164" s="811"/>
      <c r="Q164" s="811"/>
      <c r="R164" s="811"/>
    </row>
    <row r="165" spans="1:18" s="462" customFormat="1" ht="16.350000000000001" customHeight="1">
      <c r="C165" s="559"/>
      <c r="D165" s="559"/>
      <c r="E165" s="837"/>
      <c r="G165" s="811"/>
      <c r="H165" s="811"/>
      <c r="I165" s="812"/>
      <c r="J165" s="811"/>
      <c r="K165" s="811"/>
      <c r="L165" s="811"/>
      <c r="M165" s="811"/>
      <c r="N165" s="811"/>
      <c r="O165" s="811"/>
      <c r="P165" s="811"/>
      <c r="Q165" s="811"/>
      <c r="R165" s="811"/>
    </row>
    <row r="166" spans="1:18" s="462" customFormat="1" ht="16.350000000000001" customHeight="1">
      <c r="A166" s="1146" t="s">
        <v>1125</v>
      </c>
      <c r="B166" s="1147"/>
      <c r="C166" s="1148" t="s">
        <v>394</v>
      </c>
      <c r="D166" s="1148"/>
      <c r="E166" s="881" t="s">
        <v>1126</v>
      </c>
      <c r="G166" s="811"/>
      <c r="H166" s="811"/>
      <c r="I166" s="812"/>
      <c r="J166" s="811"/>
      <c r="K166" s="811"/>
      <c r="L166" s="811"/>
      <c r="M166" s="811"/>
      <c r="N166" s="811"/>
      <c r="O166" s="811"/>
      <c r="P166" s="811"/>
      <c r="Q166" s="811"/>
      <c r="R166" s="811"/>
    </row>
    <row r="167" spans="1:18" ht="12" customHeight="1">
      <c r="A167" s="215"/>
      <c r="B167" s="215"/>
      <c r="C167" s="1149" t="str">
        <f>IF(OR(AND(D169="Yes",Worksheet!H23&gt;0),AND(D169="No",Worksheet!H23&lt;=0),LEN(D169)=0),"","Inconsistency between Worksheet BMAC input and bmac.0 response")</f>
        <v/>
      </c>
      <c r="D167" s="1149"/>
      <c r="E167" s="744"/>
      <c r="F167" s="327"/>
      <c r="H167" s="803"/>
      <c r="I167" s="803"/>
    </row>
    <row r="168" spans="1:18" s="567" customFormat="1" ht="12">
      <c r="A168" s="563"/>
      <c r="B168" s="564" t="s">
        <v>395</v>
      </c>
      <c r="C168" s="565" t="s">
        <v>298</v>
      </c>
      <c r="D168" s="565" t="s">
        <v>655</v>
      </c>
      <c r="E168" s="743"/>
      <c r="F168" s="566"/>
      <c r="G168" s="804"/>
      <c r="H168" s="805" t="s">
        <v>297</v>
      </c>
      <c r="I168" s="805"/>
      <c r="J168" s="804" t="s">
        <v>786</v>
      </c>
      <c r="K168" s="804"/>
      <c r="L168" s="804"/>
      <c r="M168" s="804"/>
      <c r="N168" s="804"/>
      <c r="O168" s="804"/>
      <c r="P168" s="804"/>
      <c r="Q168" s="804"/>
      <c r="R168" s="804"/>
    </row>
    <row r="169" spans="1:18" ht="20.100000000000001" customHeight="1">
      <c r="A169" s="215"/>
      <c r="B169" s="546" t="s">
        <v>435</v>
      </c>
      <c r="C169" s="873" t="str">
        <f>BMAC!B34</f>
        <v xml:space="preserve">Were any customers metered in the audit year? </v>
      </c>
      <c r="D169" s="329"/>
      <c r="E169" s="743"/>
      <c r="F169" s="327"/>
      <c r="H169" s="799" t="e">
        <f>IF(D169="",X,"")</f>
        <v>#NAME?</v>
      </c>
      <c r="I169" s="806"/>
      <c r="J169" s="799" t="s">
        <v>820</v>
      </c>
    </row>
    <row r="170" spans="1:18" ht="23.1" customHeight="1">
      <c r="A170" s="215"/>
      <c r="B170" s="546" t="s">
        <v>396</v>
      </c>
      <c r="C170" s="873" t="str">
        <f>BMAC!B35</f>
        <v>For billed metered accounts, what % of bills are estimated in a typical billing cycle?</v>
      </c>
      <c r="D170" s="329"/>
      <c r="E170" s="743" t="str">
        <f t="shared" ref="E170:E176" si="13">IFERROR(IF(OR($D$177=10,NOT(ISNUMBER($D$177))),"",IF(I170=$I$177,"Limiting","")),"")</f>
        <v/>
      </c>
      <c r="F170" s="327"/>
      <c r="G170" s="800">
        <f>IF($D$169="No",1,IF(LEN(D170)&gt;0,1,0))</f>
        <v>0</v>
      </c>
      <c r="H170" s="814" t="e">
        <f>VLOOKUP('Interactive Data Grading'!D170,BMAC!$C$6:$J$15,8,FALSE)</f>
        <v>#N/A</v>
      </c>
      <c r="I170" s="814" t="e">
        <f>H170</f>
        <v>#N/A</v>
      </c>
    </row>
    <row r="171" spans="1:18" ht="38.25" customHeight="1">
      <c r="A171" s="215"/>
      <c r="B171" s="546" t="s">
        <v>397</v>
      </c>
      <c r="C171" s="873" t="str">
        <f>BMAC!B36</f>
        <v>How often does the utility read its customer meters?
For systems with multiple read frequencies, select the reading frequency that describes the majority of your customers.</v>
      </c>
      <c r="D171" s="329"/>
      <c r="E171" s="743" t="str">
        <f t="shared" si="13"/>
        <v/>
      </c>
      <c r="F171" s="327"/>
      <c r="G171" s="800">
        <f t="shared" ref="G171:G175" si="14">IF($D$169="No",1,IF(LEN(D171)&gt;0,1,0))</f>
        <v>0</v>
      </c>
      <c r="H171" s="814" t="e">
        <f>VLOOKUP('Interactive Data Grading'!D171,BMAC!$D$6:$J$15,7,FALSE)</f>
        <v>#N/A</v>
      </c>
      <c r="I171" s="814" t="e">
        <f t="shared" ref="I171:I175" si="15">H171</f>
        <v>#N/A</v>
      </c>
    </row>
    <row r="172" spans="1:18" ht="22.2" customHeight="1">
      <c r="A172" s="215"/>
      <c r="B172" s="546" t="s">
        <v>398</v>
      </c>
      <c r="C172" s="873" t="str">
        <f>BMAC!B37</f>
        <v>Is the BMAC volume pro-rated to represent consumption occuring exactly during the audit period?</v>
      </c>
      <c r="D172" s="329"/>
      <c r="E172" s="743" t="str">
        <f t="shared" si="13"/>
        <v/>
      </c>
      <c r="F172" s="327"/>
      <c r="G172" s="800">
        <f t="shared" si="14"/>
        <v>0</v>
      </c>
      <c r="H172" s="814" t="e">
        <f>VLOOKUP('Interactive Data Grading'!D172,BMAC!$E$6:$J$15,6,FALSE)</f>
        <v>#N/A</v>
      </c>
      <c r="I172" s="814" t="e">
        <f t="shared" si="15"/>
        <v>#N/A</v>
      </c>
    </row>
    <row r="173" spans="1:18" ht="20.100000000000001" customHeight="1">
      <c r="A173" s="215"/>
      <c r="B173" s="546" t="s">
        <v>399</v>
      </c>
      <c r="C173" s="873" t="str">
        <f>BMAC!B38</f>
        <v>How frequently does internal review by utility staff of the BMAC volumes occur?</v>
      </c>
      <c r="D173" s="329"/>
      <c r="E173" s="743" t="str">
        <f t="shared" si="13"/>
        <v/>
      </c>
      <c r="F173" s="327"/>
      <c r="G173" s="800">
        <f t="shared" si="14"/>
        <v>0</v>
      </c>
      <c r="H173" s="814" t="e">
        <f>VLOOKUP('Interactive Data Grading'!D173,BMAC!$F$6:$J$15,5,FALSE)</f>
        <v>#N/A</v>
      </c>
      <c r="I173" s="814" t="e">
        <f t="shared" si="15"/>
        <v>#N/A</v>
      </c>
    </row>
    <row r="174" spans="1:18" ht="20.100000000000001" customHeight="1">
      <c r="A174" s="215"/>
      <c r="B174" s="546" t="s">
        <v>400</v>
      </c>
      <c r="C174" s="873" t="str">
        <f>BMAC!B39</f>
        <v>What level of detail is examined in the internal review of BMAC volumes?</v>
      </c>
      <c r="D174" s="329"/>
      <c r="E174" s="743" t="str">
        <f t="shared" si="13"/>
        <v/>
      </c>
      <c r="F174" s="327"/>
      <c r="G174" s="800">
        <f>IF(OR($D$169="No",D173=BMAC!F23),1,IF(LEN(D174)&gt;0,1,0))</f>
        <v>0</v>
      </c>
      <c r="H174" s="814" t="e">
        <f>VLOOKUP('Interactive Data Grading'!D174,BMAC!$G$6:$J$15,4,FALSE)</f>
        <v>#N/A</v>
      </c>
      <c r="I174" s="814" t="e">
        <f>IF(D173=BMAC!F23,X,H174)</f>
        <v>#N/A</v>
      </c>
      <c r="J174" s="799" t="s">
        <v>399</v>
      </c>
    </row>
    <row r="175" spans="1:18" ht="22.95" customHeight="1">
      <c r="A175" s="215"/>
      <c r="B175" s="546" t="s">
        <v>401</v>
      </c>
      <c r="C175" s="873" t="str">
        <f>BMAC!B40</f>
        <v>When was the most recent billing data review by someone who is independent of the utility billing process?</v>
      </c>
      <c r="D175" s="329"/>
      <c r="E175" s="743" t="str">
        <f t="shared" si="13"/>
        <v/>
      </c>
      <c r="F175" s="327"/>
      <c r="G175" s="800">
        <f t="shared" si="14"/>
        <v>0</v>
      </c>
      <c r="H175" s="814" t="e">
        <f>VLOOKUP('Interactive Data Grading'!D175,BMAC!$H$6:$J$15,3,FALSE)</f>
        <v>#N/A</v>
      </c>
      <c r="I175" s="814" t="e">
        <f t="shared" si="15"/>
        <v>#N/A</v>
      </c>
    </row>
    <row r="176" spans="1:18" ht="22.95" customHeight="1">
      <c r="A176" s="215"/>
      <c r="B176" s="546" t="s">
        <v>402</v>
      </c>
      <c r="C176" s="873" t="str">
        <f>BMAC!B41</f>
        <v>What level of detail was examined in the review by someone who is independent of the utility billing process?</v>
      </c>
      <c r="D176" s="329"/>
      <c r="E176" s="743" t="str">
        <f t="shared" si="13"/>
        <v/>
      </c>
      <c r="F176" s="327"/>
      <c r="G176" s="800">
        <f>IF(OR($D$169="No",D175=BMAC!H23),1,IF(LEN(D176)&gt;0,1,0))</f>
        <v>0</v>
      </c>
      <c r="H176" s="814" t="e">
        <f>VLOOKUP('Interactive Data Grading'!D176,BMAC!$I$6:$J$15,2,FALSE)</f>
        <v>#N/A</v>
      </c>
      <c r="I176" s="814" t="e">
        <f>IF(D175=BMAC!H23,X,H176)</f>
        <v>#N/A</v>
      </c>
      <c r="J176" s="799" t="s">
        <v>401</v>
      </c>
    </row>
    <row r="177" spans="1:18" ht="27.6" customHeight="1">
      <c r="A177" s="215"/>
      <c r="B177" s="215"/>
      <c r="C177" s="328" t="s">
        <v>308</v>
      </c>
      <c r="D177" s="746" t="str">
        <f>IF(D169="","",IF(D169="No","n/a",IF(G177=0,"",I177)))</f>
        <v/>
      </c>
      <c r="E177" s="743"/>
      <c r="F177" s="327"/>
      <c r="G177" s="800">
        <f>MIN(G170:G176)</f>
        <v>0</v>
      </c>
      <c r="H177" s="810" t="e">
        <f>MIN(H169:H176)</f>
        <v>#NAME?</v>
      </c>
      <c r="I177" s="810">
        <f t="array" ref="I177">MIN(IF(ISNUMBER(I168:I176),I168:I176))</f>
        <v>0</v>
      </c>
    </row>
    <row r="178" spans="1:18" s="462" customFormat="1" ht="16.350000000000001" customHeight="1">
      <c r="C178" s="559"/>
      <c r="D178" s="559"/>
      <c r="E178" s="837"/>
      <c r="G178" s="811"/>
      <c r="H178" s="811"/>
      <c r="I178" s="812"/>
      <c r="J178" s="811"/>
      <c r="K178" s="811"/>
      <c r="L178" s="811"/>
      <c r="M178" s="811"/>
      <c r="N178" s="811"/>
      <c r="O178" s="811"/>
      <c r="P178" s="811"/>
      <c r="Q178" s="811"/>
      <c r="R178" s="811"/>
    </row>
    <row r="179" spans="1:18" s="462" customFormat="1" ht="16.350000000000001" customHeight="1">
      <c r="C179" s="559"/>
      <c r="D179" s="559"/>
      <c r="E179" s="837"/>
      <c r="G179" s="811"/>
      <c r="H179" s="811"/>
      <c r="I179" s="812"/>
      <c r="J179" s="811"/>
      <c r="K179" s="811"/>
      <c r="L179" s="811"/>
      <c r="M179" s="811"/>
      <c r="N179" s="811"/>
      <c r="O179" s="811"/>
      <c r="P179" s="811"/>
      <c r="Q179" s="811"/>
      <c r="R179" s="811"/>
    </row>
    <row r="180" spans="1:18" s="462" customFormat="1" ht="16.350000000000001" customHeight="1">
      <c r="C180" s="559"/>
      <c r="D180" s="559"/>
      <c r="E180" s="837"/>
      <c r="G180" s="811"/>
      <c r="H180" s="811"/>
      <c r="I180" s="812"/>
      <c r="J180" s="811"/>
      <c r="K180" s="811"/>
      <c r="L180" s="811"/>
      <c r="M180" s="811"/>
      <c r="N180" s="811"/>
      <c r="O180" s="811"/>
      <c r="P180" s="811"/>
      <c r="Q180" s="811"/>
      <c r="R180" s="811"/>
    </row>
    <row r="181" spans="1:18" s="462" customFormat="1" ht="16.350000000000001" customHeight="1">
      <c r="C181" s="559"/>
      <c r="D181" s="559"/>
      <c r="E181" s="837"/>
      <c r="G181" s="811"/>
      <c r="H181" s="811"/>
      <c r="I181" s="812"/>
      <c r="J181" s="811"/>
      <c r="K181" s="811"/>
      <c r="L181" s="811"/>
      <c r="M181" s="811"/>
      <c r="N181" s="811"/>
      <c r="O181" s="811"/>
      <c r="P181" s="811"/>
      <c r="Q181" s="811"/>
      <c r="R181" s="811"/>
    </row>
    <row r="182" spans="1:18" s="462" customFormat="1" ht="16.350000000000001" customHeight="1">
      <c r="C182" s="559"/>
      <c r="D182" s="559"/>
      <c r="E182" s="837"/>
      <c r="G182" s="811"/>
      <c r="H182" s="811"/>
      <c r="I182" s="812"/>
      <c r="J182" s="811"/>
      <c r="K182" s="811"/>
      <c r="L182" s="811"/>
      <c r="M182" s="811"/>
      <c r="N182" s="811"/>
      <c r="O182" s="811"/>
      <c r="P182" s="811"/>
      <c r="Q182" s="811"/>
      <c r="R182" s="811"/>
    </row>
    <row r="183" spans="1:18" s="462" customFormat="1" ht="16.350000000000001" customHeight="1">
      <c r="C183" s="559"/>
      <c r="D183" s="559"/>
      <c r="E183" s="837"/>
      <c r="G183" s="811"/>
      <c r="H183" s="811"/>
      <c r="I183" s="812"/>
      <c r="J183" s="811"/>
      <c r="K183" s="811"/>
      <c r="L183" s="811"/>
      <c r="M183" s="811"/>
      <c r="N183" s="811"/>
      <c r="O183" s="811"/>
      <c r="P183" s="811"/>
      <c r="Q183" s="811"/>
      <c r="R183" s="811"/>
    </row>
    <row r="184" spans="1:18" s="462" customFormat="1" ht="16.350000000000001" customHeight="1">
      <c r="C184" s="559"/>
      <c r="D184" s="559"/>
      <c r="E184" s="837"/>
      <c r="G184" s="811"/>
      <c r="H184" s="811"/>
      <c r="I184" s="812"/>
      <c r="J184" s="811"/>
      <c r="K184" s="811"/>
      <c r="L184" s="811"/>
      <c r="M184" s="811"/>
      <c r="N184" s="811"/>
      <c r="O184" s="811"/>
      <c r="P184" s="811"/>
      <c r="Q184" s="811"/>
      <c r="R184" s="811"/>
    </row>
    <row r="185" spans="1:18" s="462" customFormat="1" ht="16.350000000000001" customHeight="1">
      <c r="C185" s="559"/>
      <c r="D185" s="559"/>
      <c r="E185" s="837"/>
      <c r="G185" s="811"/>
      <c r="H185" s="811"/>
      <c r="I185" s="812"/>
      <c r="J185" s="811"/>
      <c r="K185" s="811"/>
      <c r="L185" s="811"/>
      <c r="M185" s="811"/>
      <c r="N185" s="811"/>
      <c r="O185" s="811"/>
      <c r="P185" s="811"/>
      <c r="Q185" s="811"/>
      <c r="R185" s="811"/>
    </row>
    <row r="186" spans="1:18" s="462" customFormat="1" ht="16.350000000000001" customHeight="1">
      <c r="C186" s="559"/>
      <c r="D186" s="559"/>
      <c r="E186" s="837"/>
      <c r="G186" s="811"/>
      <c r="H186" s="811"/>
      <c r="I186" s="812"/>
      <c r="J186" s="811"/>
      <c r="K186" s="811"/>
      <c r="L186" s="811"/>
      <c r="M186" s="811"/>
      <c r="N186" s="811"/>
      <c r="O186" s="811"/>
      <c r="P186" s="811"/>
      <c r="Q186" s="811"/>
      <c r="R186" s="811"/>
    </row>
    <row r="187" spans="1:18" s="462" customFormat="1" ht="16.350000000000001" customHeight="1">
      <c r="C187" s="559"/>
      <c r="D187" s="559"/>
      <c r="E187" s="837"/>
      <c r="G187" s="811"/>
      <c r="H187" s="811"/>
      <c r="I187" s="812"/>
      <c r="J187" s="811"/>
      <c r="K187" s="811"/>
      <c r="L187" s="811"/>
      <c r="M187" s="811"/>
      <c r="N187" s="811"/>
      <c r="O187" s="811"/>
      <c r="P187" s="811"/>
      <c r="Q187" s="811"/>
      <c r="R187" s="811"/>
    </row>
    <row r="188" spans="1:18" s="462" customFormat="1" ht="16.350000000000001" customHeight="1">
      <c r="C188" s="559"/>
      <c r="D188" s="559"/>
      <c r="E188" s="837"/>
      <c r="G188" s="811"/>
      <c r="H188" s="811"/>
      <c r="I188" s="812"/>
      <c r="J188" s="811"/>
      <c r="K188" s="811"/>
      <c r="L188" s="811"/>
      <c r="M188" s="811"/>
      <c r="N188" s="811"/>
      <c r="O188" s="811"/>
      <c r="P188" s="811"/>
      <c r="Q188" s="811"/>
      <c r="R188" s="811"/>
    </row>
    <row r="189" spans="1:18" s="462" customFormat="1" ht="47.4" customHeight="1">
      <c r="C189" s="559"/>
      <c r="D189" s="559"/>
      <c r="E189" s="837"/>
      <c r="G189" s="811"/>
      <c r="H189" s="811"/>
      <c r="I189" s="812"/>
      <c r="J189" s="811"/>
      <c r="K189" s="811"/>
      <c r="L189" s="811"/>
      <c r="M189" s="811"/>
      <c r="N189" s="811"/>
      <c r="O189" s="811"/>
      <c r="P189" s="811"/>
      <c r="Q189" s="811"/>
      <c r="R189" s="811"/>
    </row>
    <row r="190" spans="1:18" s="462" customFormat="1" ht="33.75" customHeight="1">
      <c r="C190" s="559"/>
      <c r="D190" s="559"/>
      <c r="E190" s="837"/>
      <c r="G190" s="811"/>
      <c r="H190" s="811"/>
      <c r="I190" s="812"/>
      <c r="J190" s="811"/>
      <c r="K190" s="811"/>
      <c r="L190" s="811"/>
      <c r="M190" s="811"/>
      <c r="N190" s="811"/>
      <c r="O190" s="811"/>
      <c r="P190" s="811"/>
      <c r="Q190" s="811"/>
      <c r="R190" s="811"/>
    </row>
    <row r="191" spans="1:18" s="462" customFormat="1" ht="32.25" customHeight="1">
      <c r="C191" s="559"/>
      <c r="D191" s="559"/>
      <c r="E191" s="837"/>
      <c r="G191" s="811"/>
      <c r="H191" s="811"/>
      <c r="I191" s="812"/>
      <c r="J191" s="811"/>
      <c r="K191" s="811"/>
      <c r="L191" s="811"/>
      <c r="M191" s="811"/>
      <c r="N191" s="811"/>
      <c r="O191" s="811"/>
      <c r="P191" s="811"/>
      <c r="Q191" s="811"/>
      <c r="R191" s="811"/>
    </row>
    <row r="192" spans="1:18" s="462" customFormat="1" ht="24.75" customHeight="1">
      <c r="C192" s="559"/>
      <c r="D192" s="559"/>
      <c r="E192" s="837"/>
      <c r="G192" s="811"/>
      <c r="H192" s="811"/>
      <c r="I192" s="812"/>
      <c r="J192" s="811"/>
      <c r="K192" s="811"/>
      <c r="L192" s="811"/>
      <c r="M192" s="811"/>
      <c r="N192" s="811"/>
      <c r="O192" s="811"/>
      <c r="P192" s="811"/>
      <c r="Q192" s="811"/>
      <c r="R192" s="811"/>
    </row>
    <row r="193" spans="1:18" s="462" customFormat="1" ht="16.350000000000001" customHeight="1">
      <c r="A193" s="1146" t="s">
        <v>1125</v>
      </c>
      <c r="B193" s="1147"/>
      <c r="C193" s="1148" t="s">
        <v>436</v>
      </c>
      <c r="D193" s="1148"/>
      <c r="E193" s="881" t="s">
        <v>1126</v>
      </c>
      <c r="G193" s="811"/>
      <c r="H193" s="811"/>
      <c r="I193" s="812"/>
      <c r="J193" s="811"/>
      <c r="K193" s="811"/>
      <c r="L193" s="811"/>
      <c r="M193" s="811"/>
      <c r="N193" s="811"/>
      <c r="O193" s="811"/>
      <c r="P193" s="811"/>
      <c r="Q193" s="811"/>
      <c r="R193" s="811"/>
    </row>
    <row r="194" spans="1:18" ht="12" customHeight="1">
      <c r="A194" s="215"/>
      <c r="B194" s="215"/>
      <c r="C194" s="1149" t="str">
        <f>IF(OR(AND(D196="Yes",Worksheet!H24&gt;0),AND(D196="No",Worksheet!H24&lt;=0),LEN(D196)=0),"","Inconsistency between Worksheet BUAC input and buac.0 response")</f>
        <v/>
      </c>
      <c r="D194" s="1149"/>
      <c r="E194" s="744"/>
      <c r="F194" s="327"/>
      <c r="H194" s="803"/>
      <c r="I194" s="803"/>
    </row>
    <row r="195" spans="1:18" s="567" customFormat="1" ht="12">
      <c r="A195" s="563"/>
      <c r="B195" s="564" t="s">
        <v>437</v>
      </c>
      <c r="C195" s="565" t="s">
        <v>298</v>
      </c>
      <c r="D195" s="565" t="s">
        <v>655</v>
      </c>
      <c r="E195" s="743"/>
      <c r="F195" s="566"/>
      <c r="G195" s="804"/>
      <c r="H195" s="805" t="s">
        <v>297</v>
      </c>
      <c r="I195" s="805"/>
      <c r="J195" s="804" t="s">
        <v>786</v>
      </c>
      <c r="K195" s="804"/>
      <c r="L195" s="804"/>
      <c r="M195" s="804"/>
      <c r="N195" s="804"/>
      <c r="O195" s="804"/>
      <c r="P195" s="804"/>
      <c r="Q195" s="804"/>
      <c r="R195" s="804"/>
    </row>
    <row r="196" spans="1:18" ht="27.6" customHeight="1">
      <c r="A196" s="215"/>
      <c r="B196" s="546" t="s">
        <v>438</v>
      </c>
      <c r="C196" s="873" t="str">
        <f>BUAC!B34</f>
        <v>Was there any billed consumption on unmetered accounts in the audit year?</v>
      </c>
      <c r="D196" s="329"/>
      <c r="E196" s="743"/>
      <c r="F196" s="327"/>
      <c r="H196" s="799" t="e">
        <f>IF(D196="",X,"")</f>
        <v>#NAME?</v>
      </c>
      <c r="I196" s="806"/>
      <c r="J196" s="799" t="s">
        <v>820</v>
      </c>
    </row>
    <row r="197" spans="1:18" ht="27.6" customHeight="1">
      <c r="A197" s="215"/>
      <c r="B197" s="546" t="s">
        <v>429</v>
      </c>
      <c r="C197" s="873" t="str">
        <f>BUAC!B35</f>
        <v>What portion of billed accounts are unmetered (% by number of accounts)?</v>
      </c>
      <c r="D197" s="329"/>
      <c r="E197" s="743" t="str">
        <f>IF(OR($D$200=10,$D$200="n/a"),"",IFERROR(IF(H197=MIN($H$197:$H$199),"Limiting",""),""))</f>
        <v/>
      </c>
      <c r="F197" s="327"/>
      <c r="H197" s="807" t="e">
        <f>VLOOKUP('Interactive Data Grading'!D197,BUAC!$C$6:$F$15,4,FALSE)</f>
        <v>#N/A</v>
      </c>
      <c r="I197" s="807"/>
    </row>
    <row r="198" spans="1:18" ht="27.6" customHeight="1">
      <c r="A198" s="215"/>
      <c r="B198" s="546" t="s">
        <v>430</v>
      </c>
      <c r="C198" s="873" t="str">
        <f>BUAC!B36</f>
        <v>Methodology to quantify consumption for unmetered accounts?</v>
      </c>
      <c r="D198" s="329"/>
      <c r="E198" s="743" t="str">
        <f>IF(OR($D$200=10,$D$200="n/a"),"",IFERROR(IF(H198=MIN($H$197:$H$199),"Limiting",""),""))</f>
        <v/>
      </c>
      <c r="F198" s="327"/>
      <c r="H198" s="807" t="e">
        <f>VLOOKUP('Interactive Data Grading'!D198,BUAC!$D$6:$F$15,3,FALSE)</f>
        <v>#N/A</v>
      </c>
      <c r="I198" s="808"/>
    </row>
    <row r="199" spans="1:18" ht="27.6" customHeight="1">
      <c r="A199" s="215"/>
      <c r="B199" s="546" t="s">
        <v>431</v>
      </c>
      <c r="C199" s="873" t="str">
        <f>BUAC!B37</f>
        <v>How frequently is unmetered customer consumption estimated?</v>
      </c>
      <c r="D199" s="329"/>
      <c r="E199" s="743" t="str">
        <f>IF(OR($D$200=10,$D$200="n/a"),"",IFERROR(IF(H199=MIN($H$197:$H$199),"Limiting",""),""))</f>
        <v/>
      </c>
      <c r="F199" s="327"/>
      <c r="H199" s="807" t="e">
        <f>VLOOKUP('Interactive Data Grading'!D199,BUAC!$E$6:$F$15,2,FALSE)</f>
        <v>#N/A</v>
      </c>
      <c r="I199" s="808"/>
    </row>
    <row r="200" spans="1:18" ht="27.6" customHeight="1">
      <c r="A200" s="215"/>
      <c r="B200" s="215"/>
      <c r="C200" s="328" t="s">
        <v>308</v>
      </c>
      <c r="D200" s="746" t="str">
        <f>IFERROR((IF(D196="No","n/a",H200)),"")</f>
        <v/>
      </c>
      <c r="E200" s="743"/>
      <c r="F200" s="327"/>
      <c r="H200" s="810" t="e">
        <f>MIN(H196:H199)</f>
        <v>#NAME?</v>
      </c>
      <c r="I200" s="807"/>
    </row>
    <row r="201" spans="1:18" s="462" customFormat="1" ht="16.350000000000001" customHeight="1">
      <c r="C201" s="559"/>
      <c r="D201" s="559"/>
      <c r="E201" s="837"/>
      <c r="G201" s="811"/>
      <c r="H201" s="811"/>
      <c r="I201" s="812"/>
      <c r="J201" s="811"/>
      <c r="K201" s="811"/>
      <c r="L201" s="811"/>
      <c r="M201" s="811"/>
      <c r="N201" s="811"/>
      <c r="O201" s="811"/>
      <c r="P201" s="811"/>
      <c r="Q201" s="811"/>
      <c r="R201" s="811"/>
    </row>
    <row r="202" spans="1:18" s="462" customFormat="1" ht="16.350000000000001" customHeight="1">
      <c r="C202" s="559"/>
      <c r="D202" s="559"/>
      <c r="E202" s="837"/>
      <c r="G202" s="811"/>
      <c r="H202" s="811"/>
      <c r="I202" s="812"/>
      <c r="J202" s="811"/>
      <c r="K202" s="811"/>
      <c r="L202" s="811"/>
      <c r="M202" s="811"/>
      <c r="N202" s="811"/>
      <c r="O202" s="811"/>
      <c r="P202" s="811"/>
      <c r="Q202" s="811"/>
      <c r="R202" s="811"/>
    </row>
    <row r="203" spans="1:18" s="462" customFormat="1" ht="16.350000000000001" customHeight="1">
      <c r="C203" s="559"/>
      <c r="D203" s="559"/>
      <c r="E203" s="837"/>
      <c r="G203" s="811"/>
      <c r="H203" s="811"/>
      <c r="I203" s="812"/>
      <c r="J203" s="811"/>
      <c r="K203" s="811"/>
      <c r="L203" s="811"/>
      <c r="M203" s="811"/>
      <c r="N203" s="811"/>
      <c r="O203" s="811"/>
      <c r="P203" s="811"/>
      <c r="Q203" s="811"/>
      <c r="R203" s="811"/>
    </row>
    <row r="204" spans="1:18" s="462" customFormat="1" ht="16.350000000000001" customHeight="1">
      <c r="C204" s="559"/>
      <c r="D204" s="559"/>
      <c r="E204" s="837"/>
      <c r="G204" s="811"/>
      <c r="H204" s="811"/>
      <c r="I204" s="812"/>
      <c r="J204" s="811"/>
      <c r="K204" s="811"/>
      <c r="L204" s="811"/>
      <c r="M204" s="811"/>
      <c r="N204" s="811"/>
      <c r="O204" s="811"/>
      <c r="P204" s="811"/>
      <c r="Q204" s="811"/>
      <c r="R204" s="811"/>
    </row>
    <row r="205" spans="1:18" s="462" customFormat="1" ht="16.350000000000001" customHeight="1">
      <c r="C205" s="559"/>
      <c r="D205" s="559"/>
      <c r="E205" s="837"/>
      <c r="G205" s="811"/>
      <c r="H205" s="811"/>
      <c r="I205" s="812"/>
      <c r="J205" s="811"/>
      <c r="K205" s="811"/>
      <c r="L205" s="811"/>
      <c r="M205" s="811"/>
      <c r="N205" s="811"/>
      <c r="O205" s="811"/>
      <c r="P205" s="811"/>
      <c r="Q205" s="811"/>
      <c r="R205" s="811"/>
    </row>
    <row r="206" spans="1:18" s="462" customFormat="1" ht="16.350000000000001" customHeight="1">
      <c r="C206" s="559"/>
      <c r="D206" s="559"/>
      <c r="E206" s="837"/>
      <c r="G206" s="811"/>
      <c r="H206" s="811"/>
      <c r="I206" s="812"/>
      <c r="J206" s="811"/>
      <c r="K206" s="811"/>
      <c r="L206" s="811"/>
      <c r="M206" s="811"/>
      <c r="N206" s="811"/>
      <c r="O206" s="811"/>
      <c r="P206" s="811"/>
      <c r="Q206" s="811"/>
      <c r="R206" s="811"/>
    </row>
    <row r="207" spans="1:18" s="462" customFormat="1" ht="16.350000000000001" customHeight="1">
      <c r="C207" s="559"/>
      <c r="D207" s="559"/>
      <c r="E207" s="837"/>
      <c r="G207" s="811"/>
      <c r="H207" s="811"/>
      <c r="I207" s="812"/>
      <c r="J207" s="811"/>
      <c r="K207" s="811"/>
      <c r="L207" s="811"/>
      <c r="M207" s="811"/>
      <c r="N207" s="811"/>
      <c r="O207" s="811"/>
      <c r="P207" s="811"/>
      <c r="Q207" s="811"/>
      <c r="R207" s="811"/>
    </row>
    <row r="208" spans="1:18" s="462" customFormat="1" ht="16.350000000000001" customHeight="1">
      <c r="C208" s="559"/>
      <c r="D208" s="559"/>
      <c r="E208" s="837"/>
      <c r="G208" s="811"/>
      <c r="H208" s="811"/>
      <c r="I208" s="812"/>
      <c r="J208" s="811"/>
      <c r="K208" s="811"/>
      <c r="L208" s="811"/>
      <c r="M208" s="811"/>
      <c r="N208" s="811"/>
      <c r="O208" s="811"/>
      <c r="P208" s="811"/>
      <c r="Q208" s="811"/>
      <c r="R208" s="811"/>
    </row>
    <row r="209" spans="1:18" s="462" customFormat="1" ht="57.6" customHeight="1">
      <c r="C209" s="559"/>
      <c r="D209" s="559"/>
      <c r="E209" s="837"/>
      <c r="G209" s="811"/>
      <c r="H209" s="811"/>
      <c r="I209" s="812"/>
      <c r="J209" s="811"/>
      <c r="K209" s="811"/>
      <c r="L209" s="811"/>
      <c r="M209" s="811"/>
      <c r="N209" s="811"/>
      <c r="O209" s="811"/>
      <c r="P209" s="811"/>
      <c r="Q209" s="811"/>
      <c r="R209" s="811"/>
    </row>
    <row r="210" spans="1:18" s="462" customFormat="1" ht="57.6" customHeight="1">
      <c r="C210" s="559"/>
      <c r="D210" s="559"/>
      <c r="E210" s="837"/>
      <c r="G210" s="811"/>
      <c r="H210" s="811"/>
      <c r="I210" s="812"/>
      <c r="J210" s="811"/>
      <c r="K210" s="811"/>
      <c r="L210" s="811"/>
      <c r="M210" s="811"/>
      <c r="N210" s="811"/>
      <c r="O210" s="811"/>
      <c r="P210" s="811"/>
      <c r="Q210" s="811"/>
      <c r="R210" s="811"/>
    </row>
    <row r="211" spans="1:18" s="462" customFormat="1" ht="57.6" customHeight="1">
      <c r="C211" s="559"/>
      <c r="D211" s="559"/>
      <c r="E211" s="837"/>
      <c r="G211" s="811"/>
      <c r="H211" s="811"/>
      <c r="I211" s="812"/>
      <c r="J211" s="811"/>
      <c r="K211" s="811"/>
      <c r="L211" s="811"/>
      <c r="M211" s="811"/>
      <c r="N211" s="811"/>
      <c r="O211" s="811"/>
      <c r="P211" s="811"/>
      <c r="Q211" s="811"/>
      <c r="R211" s="811"/>
    </row>
    <row r="212" spans="1:18" s="462" customFormat="1" ht="33.75" customHeight="1">
      <c r="C212" s="559"/>
      <c r="D212" s="559"/>
      <c r="E212" s="837"/>
      <c r="G212" s="811"/>
      <c r="H212" s="811"/>
      <c r="I212" s="812"/>
      <c r="J212" s="811"/>
      <c r="K212" s="811"/>
      <c r="L212" s="811"/>
      <c r="M212" s="811"/>
      <c r="N212" s="811"/>
      <c r="O212" s="811"/>
      <c r="P212" s="811"/>
      <c r="Q212" s="811"/>
      <c r="R212" s="811"/>
    </row>
    <row r="213" spans="1:18" s="462" customFormat="1" ht="16.350000000000001" customHeight="1">
      <c r="C213" s="559"/>
      <c r="D213" s="559"/>
      <c r="E213" s="837"/>
      <c r="G213" s="811"/>
      <c r="H213" s="811"/>
      <c r="I213" s="812"/>
      <c r="J213" s="811"/>
      <c r="K213" s="811"/>
      <c r="L213" s="811"/>
      <c r="M213" s="811"/>
      <c r="N213" s="811"/>
      <c r="O213" s="811"/>
      <c r="P213" s="811"/>
      <c r="Q213" s="811"/>
      <c r="R213" s="811"/>
    </row>
    <row r="214" spans="1:18" s="462" customFormat="1" ht="16.350000000000001" customHeight="1">
      <c r="C214" s="559"/>
      <c r="D214" s="559"/>
      <c r="E214" s="837"/>
      <c r="G214" s="811"/>
      <c r="H214" s="811"/>
      <c r="I214" s="812"/>
      <c r="J214" s="811"/>
      <c r="K214" s="811"/>
      <c r="L214" s="811"/>
      <c r="M214" s="811"/>
      <c r="N214" s="811"/>
      <c r="O214" s="811"/>
      <c r="P214" s="811"/>
      <c r="Q214" s="811"/>
      <c r="R214" s="811"/>
    </row>
    <row r="215" spans="1:18" s="462" customFormat="1" ht="18.75" customHeight="1">
      <c r="C215" s="559"/>
      <c r="D215" s="559"/>
      <c r="E215" s="837"/>
      <c r="G215" s="811"/>
      <c r="H215" s="811"/>
      <c r="I215" s="812"/>
      <c r="J215" s="811"/>
      <c r="K215" s="811"/>
      <c r="L215" s="811"/>
      <c r="M215" s="811"/>
      <c r="N215" s="811"/>
      <c r="O215" s="811"/>
      <c r="P215" s="811"/>
      <c r="Q215" s="811"/>
      <c r="R215" s="811"/>
    </row>
    <row r="216" spans="1:18" s="462" customFormat="1" ht="16.350000000000001" customHeight="1">
      <c r="A216" s="1146" t="s">
        <v>1125</v>
      </c>
      <c r="B216" s="1147"/>
      <c r="C216" s="1148" t="s">
        <v>454</v>
      </c>
      <c r="D216" s="1148"/>
      <c r="E216" s="881" t="s">
        <v>1126</v>
      </c>
      <c r="G216" s="811"/>
      <c r="H216" s="811"/>
      <c r="I216" s="812"/>
      <c r="J216" s="811"/>
      <c r="K216" s="811"/>
      <c r="L216" s="811"/>
      <c r="M216" s="811"/>
      <c r="N216" s="811"/>
      <c r="O216" s="811"/>
      <c r="P216" s="811"/>
      <c r="Q216" s="811"/>
      <c r="R216" s="811"/>
    </row>
    <row r="217" spans="1:18" ht="12" customHeight="1">
      <c r="A217" s="215"/>
      <c r="B217" s="215"/>
      <c r="C217" s="1149" t="str">
        <f>IF(OR(AND(D219="Yes",Worksheet!H25&gt;0),AND(D219="No",Worksheet!H25&lt;=0),LEN(D219)=0),"","Inconsistency between Worksheet UMAC input and umac.0 response")</f>
        <v/>
      </c>
      <c r="D217" s="1149"/>
      <c r="E217" s="744"/>
      <c r="F217" s="327"/>
      <c r="H217" s="803"/>
      <c r="I217" s="803"/>
    </row>
    <row r="218" spans="1:18" s="567" customFormat="1" ht="12">
      <c r="A218" s="563"/>
      <c r="B218" s="564" t="s">
        <v>466</v>
      </c>
      <c r="C218" s="565" t="s">
        <v>298</v>
      </c>
      <c r="D218" s="565" t="s">
        <v>655</v>
      </c>
      <c r="E218" s="743"/>
      <c r="F218" s="566"/>
      <c r="G218" s="804"/>
      <c r="H218" s="805" t="s">
        <v>297</v>
      </c>
      <c r="I218" s="805"/>
      <c r="J218" s="804" t="s">
        <v>786</v>
      </c>
      <c r="K218" s="804"/>
      <c r="L218" s="804"/>
      <c r="M218" s="804"/>
      <c r="N218" s="804"/>
      <c r="O218" s="804"/>
      <c r="P218" s="804"/>
      <c r="Q218" s="804"/>
      <c r="R218" s="804"/>
    </row>
    <row r="219" spans="1:18" ht="27.6" customHeight="1">
      <c r="A219" s="215"/>
      <c r="B219" s="546" t="s">
        <v>467</v>
      </c>
      <c r="C219" s="873" t="str">
        <f>UMAC!B34</f>
        <v>Did the water utility have any unbilled-metered consumption in the audit year?</v>
      </c>
      <c r="D219" s="329"/>
      <c r="E219" s="743"/>
      <c r="F219" s="327"/>
      <c r="H219" s="799" t="e">
        <f>IF(D219="",X,"")</f>
        <v>#NAME?</v>
      </c>
      <c r="I219" s="806"/>
      <c r="J219" s="799" t="s">
        <v>820</v>
      </c>
    </row>
    <row r="220" spans="1:18" ht="27.6" customHeight="1">
      <c r="A220" s="215"/>
      <c r="B220" s="546" t="s">
        <v>448</v>
      </c>
      <c r="C220" s="873" t="str">
        <f>UMAC!B35</f>
        <v>Does the water utility policy articulate which accounts are exempt from billing?</v>
      </c>
      <c r="D220" s="329"/>
      <c r="E220" s="743" t="str">
        <f>IF(OR($D$224=10,$D$224="n/a"),"",IFERROR(IF(H220=MIN($H$220:$H$223),"Limiting",""),""))</f>
        <v/>
      </c>
      <c r="F220" s="327"/>
      <c r="H220" s="807" t="e">
        <f>VLOOKUP('Interactive Data Grading'!D220,UMAC!$C$6:$G$15,5,FALSE)</f>
        <v>#N/A</v>
      </c>
      <c r="I220" s="807"/>
    </row>
    <row r="221" spans="1:18" ht="27.6" customHeight="1">
      <c r="A221" s="215"/>
      <c r="B221" s="546" t="s">
        <v>449</v>
      </c>
      <c r="C221" s="873" t="str">
        <f>UMAC!B36</f>
        <v>How many unbilled metered accounts exist?</v>
      </c>
      <c r="D221" s="329"/>
      <c r="E221" s="743" t="str">
        <f>IF(OR($D$224=10,$D$224="n/a"),"",IFERROR(IF(H221=MIN($H$220:$H$223),"Limiting",""),""))</f>
        <v/>
      </c>
      <c r="F221" s="327"/>
      <c r="H221" s="807" t="e">
        <f>VLOOKUP('Interactive Data Grading'!D221,UMAC!$D$6:$G$15,4,FALSE)</f>
        <v>#N/A</v>
      </c>
      <c r="I221" s="808"/>
    </row>
    <row r="222" spans="1:18" ht="41.85" customHeight="1">
      <c r="A222" s="215"/>
      <c r="B222" s="546" t="s">
        <v>450</v>
      </c>
      <c r="C222" s="873" t="str">
        <f>UMAC!B37</f>
        <v>How often is each unbilled customer meter read? 
For systems with multiple read frequencies, select the reading frequency that describes the majority of your customers.</v>
      </c>
      <c r="D222" s="329"/>
      <c r="E222" s="743" t="str">
        <f>IF(OR($D$224=10,$D$224="n/a"),"",IFERROR(IF(H222=MIN($H$220:$H$223),"Limiting",""),""))</f>
        <v/>
      </c>
      <c r="F222" s="327"/>
      <c r="H222" s="807" t="e">
        <f>VLOOKUP('Interactive Data Grading'!D222,UMAC!$E$6:$G$15,3,FALSE)</f>
        <v>#N/A</v>
      </c>
      <c r="I222" s="808"/>
    </row>
    <row r="223" spans="1:18" ht="27.6" customHeight="1">
      <c r="A223" s="215"/>
      <c r="B223" s="546" t="s">
        <v>451</v>
      </c>
      <c r="C223" s="873" t="str">
        <f>UMAC!B38</f>
        <v>How often are unbilled metered volumes reviewed for error?</v>
      </c>
      <c r="D223" s="329"/>
      <c r="E223" s="743" t="str">
        <f>IF(OR($D$224=10,$D$224="n/a"),"",IFERROR(IF(H223=MIN($H$220:$H$223),"Limiting",""),""))</f>
        <v/>
      </c>
      <c r="F223" s="327"/>
      <c r="H223" s="807" t="e">
        <f>VLOOKUP('Interactive Data Grading'!D223,UMAC!$F$6:$G$15,2,FALSE)</f>
        <v>#N/A</v>
      </c>
      <c r="I223" s="807"/>
    </row>
    <row r="224" spans="1:18" ht="27.6" customHeight="1">
      <c r="A224" s="215"/>
      <c r="B224" s="215"/>
      <c r="C224" s="328" t="s">
        <v>308</v>
      </c>
      <c r="D224" s="746" t="str">
        <f>IFERROR((IF(D219="No","n/a",H224)),"")</f>
        <v/>
      </c>
      <c r="E224" s="743"/>
      <c r="F224" s="327"/>
      <c r="H224" s="810" t="e">
        <f>MIN(H219:H223)</f>
        <v>#NAME?</v>
      </c>
      <c r="I224" s="807"/>
    </row>
    <row r="225" spans="1:18" s="462" customFormat="1" ht="16.350000000000001" customHeight="1">
      <c r="C225" s="559"/>
      <c r="D225" s="559"/>
      <c r="E225" s="837"/>
      <c r="G225" s="811"/>
      <c r="H225" s="811"/>
      <c r="I225" s="812"/>
      <c r="J225" s="811"/>
      <c r="K225" s="811"/>
      <c r="L225" s="811"/>
      <c r="M225" s="811"/>
      <c r="N225" s="811"/>
      <c r="O225" s="811"/>
      <c r="P225" s="811"/>
      <c r="Q225" s="811"/>
      <c r="R225" s="811"/>
    </row>
    <row r="226" spans="1:18" s="462" customFormat="1" ht="16.350000000000001" customHeight="1">
      <c r="C226" s="559"/>
      <c r="D226" s="559"/>
      <c r="E226" s="837"/>
      <c r="G226" s="811"/>
      <c r="H226" s="811"/>
      <c r="I226" s="812"/>
      <c r="J226" s="811"/>
      <c r="K226" s="811"/>
      <c r="L226" s="811"/>
      <c r="M226" s="811"/>
      <c r="N226" s="811"/>
      <c r="O226" s="811"/>
      <c r="P226" s="811"/>
      <c r="Q226" s="811"/>
      <c r="R226" s="811"/>
    </row>
    <row r="227" spans="1:18" s="462" customFormat="1" ht="16.350000000000001" customHeight="1">
      <c r="C227" s="559"/>
      <c r="D227" s="559"/>
      <c r="E227" s="837"/>
      <c r="G227" s="811"/>
      <c r="H227" s="811"/>
      <c r="I227" s="812"/>
      <c r="J227" s="811"/>
      <c r="K227" s="811"/>
      <c r="L227" s="811"/>
      <c r="M227" s="811"/>
      <c r="N227" s="811"/>
      <c r="O227" s="811"/>
      <c r="P227" s="811"/>
      <c r="Q227" s="811"/>
      <c r="R227" s="811"/>
    </row>
    <row r="228" spans="1:18" s="462" customFormat="1" ht="16.350000000000001" customHeight="1">
      <c r="C228" s="559"/>
      <c r="D228" s="559"/>
      <c r="E228" s="837"/>
      <c r="G228" s="811"/>
      <c r="H228" s="811"/>
      <c r="I228" s="812"/>
      <c r="J228" s="811"/>
      <c r="K228" s="811"/>
      <c r="L228" s="811"/>
      <c r="M228" s="811"/>
      <c r="N228" s="811"/>
      <c r="O228" s="811"/>
      <c r="P228" s="811"/>
      <c r="Q228" s="811"/>
      <c r="R228" s="811"/>
    </row>
    <row r="229" spans="1:18" s="462" customFormat="1" ht="16.350000000000001" customHeight="1">
      <c r="C229" s="559"/>
      <c r="D229" s="559"/>
      <c r="E229" s="837"/>
      <c r="G229" s="811"/>
      <c r="H229" s="811"/>
      <c r="I229" s="812"/>
      <c r="J229" s="811"/>
      <c r="K229" s="811"/>
      <c r="L229" s="811"/>
      <c r="M229" s="811"/>
      <c r="N229" s="811"/>
      <c r="O229" s="811"/>
      <c r="P229" s="811"/>
      <c r="Q229" s="811"/>
      <c r="R229" s="811"/>
    </row>
    <row r="230" spans="1:18" s="462" customFormat="1" ht="40.35" customHeight="1">
      <c r="C230" s="559"/>
      <c r="D230" s="559"/>
      <c r="E230" s="837"/>
      <c r="G230" s="811"/>
      <c r="H230" s="811"/>
      <c r="I230" s="812"/>
      <c r="J230" s="811"/>
      <c r="K230" s="811"/>
      <c r="L230" s="811"/>
      <c r="M230" s="811"/>
      <c r="N230" s="811"/>
      <c r="O230" s="811"/>
      <c r="P230" s="811"/>
      <c r="Q230" s="811"/>
      <c r="R230" s="811"/>
    </row>
    <row r="231" spans="1:18" s="462" customFormat="1" ht="40.35" customHeight="1">
      <c r="C231" s="559"/>
      <c r="D231" s="559"/>
      <c r="E231" s="837"/>
      <c r="G231" s="811"/>
      <c r="H231" s="811"/>
      <c r="I231" s="812"/>
      <c r="J231" s="811"/>
      <c r="K231" s="811"/>
      <c r="L231" s="811"/>
      <c r="M231" s="811"/>
      <c r="N231" s="811"/>
      <c r="O231" s="811"/>
      <c r="P231" s="811"/>
      <c r="Q231" s="811"/>
      <c r="R231" s="811"/>
    </row>
    <row r="232" spans="1:18" s="462" customFormat="1" ht="40.35" customHeight="1">
      <c r="C232" s="559"/>
      <c r="D232" s="559"/>
      <c r="E232" s="837"/>
      <c r="G232" s="811"/>
      <c r="H232" s="811"/>
      <c r="I232" s="812"/>
      <c r="J232" s="811"/>
      <c r="K232" s="811"/>
      <c r="L232" s="811"/>
      <c r="M232" s="811"/>
      <c r="N232" s="811"/>
      <c r="O232" s="811"/>
      <c r="P232" s="811"/>
      <c r="Q232" s="811"/>
      <c r="R232" s="811"/>
    </row>
    <row r="233" spans="1:18" s="462" customFormat="1" ht="23.25" customHeight="1">
      <c r="C233" s="559"/>
      <c r="D233" s="559"/>
      <c r="E233" s="837"/>
      <c r="G233" s="811"/>
      <c r="H233" s="811"/>
      <c r="I233" s="812"/>
      <c r="J233" s="811"/>
      <c r="K233" s="811"/>
      <c r="L233" s="811"/>
      <c r="M233" s="811"/>
      <c r="N233" s="811"/>
      <c r="O233" s="811"/>
      <c r="P233" s="811"/>
      <c r="Q233" s="811"/>
      <c r="R233" s="811"/>
    </row>
    <row r="234" spans="1:18" s="462" customFormat="1" ht="13.5" customHeight="1">
      <c r="C234" s="559"/>
      <c r="D234" s="559"/>
      <c r="E234" s="837"/>
      <c r="G234" s="811"/>
      <c r="H234" s="811"/>
      <c r="I234" s="812"/>
      <c r="J234" s="811"/>
      <c r="K234" s="811"/>
      <c r="L234" s="811"/>
      <c r="M234" s="811"/>
      <c r="N234" s="811"/>
      <c r="O234" s="811"/>
      <c r="P234" s="811"/>
      <c r="Q234" s="811"/>
      <c r="R234" s="811"/>
    </row>
    <row r="235" spans="1:18" s="462" customFormat="1" ht="16.350000000000001" customHeight="1">
      <c r="C235" s="559"/>
      <c r="D235" s="559"/>
      <c r="E235" s="837"/>
      <c r="G235" s="811"/>
      <c r="H235" s="811"/>
      <c r="I235" s="812"/>
      <c r="J235" s="811"/>
      <c r="K235" s="811"/>
      <c r="L235" s="811"/>
      <c r="M235" s="811"/>
      <c r="N235" s="811"/>
      <c r="O235" s="811"/>
      <c r="P235" s="811"/>
      <c r="Q235" s="811"/>
      <c r="R235" s="811"/>
    </row>
    <row r="236" spans="1:18" s="462" customFormat="1" ht="12.75" customHeight="1">
      <c r="C236" s="559"/>
      <c r="D236" s="559"/>
      <c r="E236" s="837"/>
      <c r="G236" s="811"/>
      <c r="H236" s="811"/>
      <c r="I236" s="812"/>
      <c r="J236" s="811"/>
      <c r="K236" s="811"/>
      <c r="L236" s="811"/>
      <c r="M236" s="811"/>
      <c r="N236" s="811"/>
      <c r="O236" s="811"/>
      <c r="P236" s="811"/>
      <c r="Q236" s="811"/>
      <c r="R236" s="811"/>
    </row>
    <row r="237" spans="1:18" s="462" customFormat="1" ht="12.75" customHeight="1">
      <c r="C237" s="559"/>
      <c r="D237" s="559"/>
      <c r="E237" s="837"/>
      <c r="G237" s="811"/>
      <c r="H237" s="811"/>
      <c r="I237" s="812"/>
      <c r="J237" s="811"/>
      <c r="K237" s="811"/>
      <c r="L237" s="811"/>
      <c r="M237" s="811"/>
      <c r="N237" s="811"/>
      <c r="O237" s="811"/>
      <c r="P237" s="811"/>
      <c r="Q237" s="811"/>
      <c r="R237" s="811"/>
    </row>
    <row r="238" spans="1:18" s="462" customFormat="1" ht="12.75" customHeight="1">
      <c r="C238" s="559"/>
      <c r="D238" s="559"/>
      <c r="E238" s="837"/>
      <c r="G238" s="811"/>
      <c r="H238" s="811"/>
      <c r="I238" s="812"/>
      <c r="J238" s="811"/>
      <c r="K238" s="811"/>
      <c r="L238" s="811"/>
      <c r="M238" s="811"/>
      <c r="N238" s="811"/>
      <c r="O238" s="811"/>
      <c r="P238" s="811"/>
      <c r="Q238" s="811"/>
      <c r="R238" s="811"/>
    </row>
    <row r="239" spans="1:18" s="462" customFormat="1" ht="51" customHeight="1">
      <c r="C239" s="559"/>
      <c r="D239" s="559"/>
      <c r="E239" s="837"/>
      <c r="G239" s="811"/>
      <c r="H239" s="811"/>
      <c r="I239" s="812"/>
      <c r="J239" s="811"/>
      <c r="K239" s="811"/>
      <c r="L239" s="811"/>
      <c r="M239" s="811"/>
      <c r="N239" s="811"/>
      <c r="O239" s="811"/>
      <c r="P239" s="811"/>
      <c r="Q239" s="811"/>
      <c r="R239" s="811"/>
    </row>
    <row r="240" spans="1:18" s="462" customFormat="1" ht="16.350000000000001" customHeight="1">
      <c r="A240" s="1146" t="s">
        <v>1125</v>
      </c>
      <c r="B240" s="1147"/>
      <c r="C240" s="1148" t="s">
        <v>465</v>
      </c>
      <c r="D240" s="1148"/>
      <c r="E240" s="881" t="s">
        <v>1126</v>
      </c>
      <c r="G240" s="811"/>
      <c r="H240" s="811"/>
      <c r="I240" s="812"/>
      <c r="J240" s="811"/>
      <c r="K240" s="811"/>
      <c r="L240" s="811"/>
      <c r="M240" s="811"/>
      <c r="N240" s="811"/>
      <c r="O240" s="811"/>
      <c r="P240" s="811"/>
      <c r="Q240" s="811"/>
      <c r="R240" s="811"/>
    </row>
    <row r="241" spans="1:18" ht="9.75" customHeight="1">
      <c r="A241" s="215"/>
      <c r="B241" s="215"/>
      <c r="C241" s="1155" t="str">
        <f>IF(Worksheet!W26=1,"This Data Grading Criteria is hidden when the 'default' input is used on the Worksheet","")</f>
        <v>This Data Grading Criteria is hidden when the 'default' input is used on the Worksheet</v>
      </c>
      <c r="D241" s="1155"/>
      <c r="E241" s="744"/>
      <c r="F241" s="327"/>
      <c r="H241" s="803"/>
      <c r="I241" s="803"/>
    </row>
    <row r="242" spans="1:18" s="567" customFormat="1" ht="12">
      <c r="A242" s="563"/>
      <c r="B242" s="564" t="s">
        <v>468</v>
      </c>
      <c r="C242" s="565" t="s">
        <v>298</v>
      </c>
      <c r="D242" s="565" t="s">
        <v>655</v>
      </c>
      <c r="E242" s="743"/>
      <c r="F242" s="566"/>
      <c r="G242" s="804"/>
      <c r="H242" s="805" t="s">
        <v>297</v>
      </c>
      <c r="I242" s="805"/>
      <c r="J242" s="804" t="s">
        <v>786</v>
      </c>
      <c r="K242" s="804"/>
      <c r="L242" s="804"/>
      <c r="M242" s="804"/>
      <c r="N242" s="804"/>
      <c r="O242" s="804"/>
      <c r="P242" s="804"/>
      <c r="Q242" s="804"/>
      <c r="R242" s="804"/>
    </row>
    <row r="243" spans="1:18" ht="27.6" customHeight="1">
      <c r="A243" s="215"/>
      <c r="B243" s="546" t="s">
        <v>469</v>
      </c>
      <c r="C243" s="873" t="str">
        <f>UUAC!B34</f>
        <v xml:space="preserve">On the Worksheet, the status of the default option is: </v>
      </c>
      <c r="D243" s="332" t="str">
        <f>IF(AND(Worksheet!W26=2,Worksheet!Q26&gt;0),UUAC!A2,UUAC!A3)</f>
        <v>Default is used because Custom Value is selected but no value has been entered</v>
      </c>
      <c r="E243" s="743"/>
      <c r="F243" s="327"/>
      <c r="I243" s="806"/>
      <c r="J243" s="799" t="s">
        <v>830</v>
      </c>
    </row>
    <row r="244" spans="1:18" ht="27.6" customHeight="1">
      <c r="A244" s="215"/>
      <c r="B244" s="546" t="s">
        <v>459</v>
      </c>
      <c r="C244" s="873" t="str">
        <f>UUAC!B35</f>
        <v>How well-understood is the extent of unbilled unmetered use?</v>
      </c>
      <c r="D244" s="330"/>
      <c r="E244" s="743" t="str">
        <f>IF(OR($D$247=10,$D$247=3),"",IFERROR(IF(H244=MIN($H$244:$H$246),"Limiting",""),""))</f>
        <v/>
      </c>
      <c r="F244" s="327"/>
      <c r="H244" s="807" t="e">
        <f>VLOOKUP('Interactive Data Grading'!D244,UUAC!$C$6:$F$15,4,FALSE)</f>
        <v>#N/A</v>
      </c>
      <c r="I244" s="807"/>
    </row>
    <row r="245" spans="1:18" ht="27.6" customHeight="1">
      <c r="A245" s="215"/>
      <c r="B245" s="546" t="s">
        <v>460</v>
      </c>
      <c r="C245" s="873" t="str">
        <f>UUAC!B36</f>
        <v>Which best describes the records that are kept for events of unbilled unmetered use?</v>
      </c>
      <c r="D245" s="331"/>
      <c r="E245" s="743" t="str">
        <f>IF(OR($D$247=10,$D$247=3),"",IFERROR(IF(H245=MIN($H$244:$H$246),"Limiting",""),""))</f>
        <v/>
      </c>
      <c r="F245" s="327"/>
      <c r="H245" s="807" t="e">
        <f>VLOOKUP('Interactive Data Grading'!D245,UUAC!$D$6:$F$15,3,FALSE)</f>
        <v>#N/A</v>
      </c>
      <c r="I245" s="808"/>
    </row>
    <row r="246" spans="1:18" ht="27.6" customHeight="1">
      <c r="A246" s="215"/>
      <c r="B246" s="546" t="s">
        <v>461</v>
      </c>
      <c r="C246" s="873" t="str">
        <f>UUAC!B37</f>
        <v>How is the majority of unbilled unmetered use estimated?</v>
      </c>
      <c r="D246" s="331"/>
      <c r="E246" s="743" t="str">
        <f>IF(OR($D$247=10,$D$247=3),"",IFERROR(IF(H246=MIN($H$244:$H$246),"Limiting",""),""))</f>
        <v/>
      </c>
      <c r="F246" s="327"/>
      <c r="H246" s="807" t="e">
        <f>VLOOKUP('Interactive Data Grading'!D246,UUAC!$E$6:$F$15,2,FALSE)</f>
        <v>#N/A</v>
      </c>
      <c r="I246" s="808"/>
    </row>
    <row r="247" spans="1:18" ht="27.6" customHeight="1">
      <c r="A247" s="215"/>
      <c r="B247" s="215"/>
      <c r="C247" s="328" t="s">
        <v>308</v>
      </c>
      <c r="D247" s="884">
        <f>IFERROR((IF(D243=UUAC!A3,3,H247)),"")</f>
        <v>3</v>
      </c>
      <c r="E247" s="743"/>
      <c r="F247" s="327"/>
      <c r="H247" s="810" t="e">
        <f>MIN(H244:H246)</f>
        <v>#N/A</v>
      </c>
      <c r="I247" s="807"/>
    </row>
    <row r="248" spans="1:18" s="462" customFormat="1" ht="16.350000000000001" customHeight="1">
      <c r="C248" s="559"/>
      <c r="D248" s="559"/>
      <c r="E248" s="837"/>
      <c r="G248" s="811"/>
      <c r="H248" s="811"/>
      <c r="I248" s="812"/>
      <c r="J248" s="811"/>
      <c r="K248" s="811"/>
      <c r="L248" s="811"/>
      <c r="M248" s="811"/>
      <c r="N248" s="811"/>
      <c r="O248" s="811"/>
      <c r="P248" s="811"/>
      <c r="Q248" s="811"/>
      <c r="R248" s="811"/>
    </row>
    <row r="249" spans="1:18" s="462" customFormat="1" ht="16.350000000000001" customHeight="1">
      <c r="C249" s="559"/>
      <c r="D249" s="559"/>
      <c r="E249" s="837"/>
      <c r="G249" s="811"/>
      <c r="H249" s="811"/>
      <c r="I249" s="812"/>
      <c r="J249" s="811"/>
      <c r="K249" s="811"/>
      <c r="L249" s="811"/>
      <c r="M249" s="811"/>
      <c r="N249" s="811"/>
      <c r="O249" s="811"/>
      <c r="P249" s="811"/>
      <c r="Q249" s="811"/>
      <c r="R249" s="811"/>
    </row>
    <row r="250" spans="1:18" s="462" customFormat="1" ht="16.350000000000001" customHeight="1">
      <c r="C250" s="559"/>
      <c r="D250" s="559"/>
      <c r="E250" s="837"/>
      <c r="G250" s="811"/>
      <c r="H250" s="811"/>
      <c r="I250" s="812"/>
      <c r="J250" s="811"/>
      <c r="K250" s="811"/>
      <c r="L250" s="811"/>
      <c r="M250" s="811"/>
      <c r="N250" s="811"/>
      <c r="O250" s="811"/>
      <c r="P250" s="811"/>
      <c r="Q250" s="811"/>
      <c r="R250" s="811"/>
    </row>
    <row r="251" spans="1:18" s="462" customFormat="1" ht="16.350000000000001" customHeight="1">
      <c r="C251" s="559"/>
      <c r="D251" s="559"/>
      <c r="E251" s="837"/>
      <c r="G251" s="811"/>
      <c r="H251" s="811"/>
      <c r="I251" s="812"/>
      <c r="J251" s="811"/>
      <c r="K251" s="811"/>
      <c r="L251" s="811"/>
      <c r="M251" s="811"/>
      <c r="N251" s="811"/>
      <c r="O251" s="811"/>
      <c r="P251" s="811"/>
      <c r="Q251" s="811"/>
      <c r="R251" s="811"/>
    </row>
    <row r="252" spans="1:18" s="462" customFormat="1" ht="16.350000000000001" customHeight="1">
      <c r="C252" s="559"/>
      <c r="D252" s="559"/>
      <c r="E252" s="837"/>
      <c r="G252" s="811"/>
      <c r="H252" s="811"/>
      <c r="I252" s="812"/>
      <c r="J252" s="811"/>
      <c r="K252" s="811"/>
      <c r="L252" s="811"/>
      <c r="M252" s="811"/>
      <c r="N252" s="811"/>
      <c r="O252" s="811"/>
      <c r="P252" s="811"/>
      <c r="Q252" s="811"/>
      <c r="R252" s="811"/>
    </row>
    <row r="253" spans="1:18" s="462" customFormat="1" ht="16.350000000000001" customHeight="1">
      <c r="C253" s="559"/>
      <c r="D253" s="559"/>
      <c r="E253" s="837"/>
      <c r="G253" s="811"/>
      <c r="H253" s="811"/>
      <c r="I253" s="812"/>
      <c r="J253" s="811"/>
      <c r="K253" s="811"/>
      <c r="L253" s="811"/>
      <c r="M253" s="811"/>
      <c r="N253" s="811"/>
      <c r="O253" s="811"/>
      <c r="P253" s="811"/>
      <c r="Q253" s="811"/>
      <c r="R253" s="811"/>
    </row>
    <row r="254" spans="1:18" s="462" customFormat="1" ht="16.350000000000001" customHeight="1">
      <c r="C254" s="559"/>
      <c r="D254" s="559"/>
      <c r="E254" s="837"/>
      <c r="G254" s="811"/>
      <c r="H254" s="811"/>
      <c r="I254" s="812"/>
      <c r="J254" s="811"/>
      <c r="K254" s="811"/>
      <c r="L254" s="811"/>
      <c r="M254" s="811"/>
      <c r="N254" s="811"/>
      <c r="O254" s="811"/>
      <c r="P254" s="811"/>
      <c r="Q254" s="811"/>
      <c r="R254" s="811"/>
    </row>
    <row r="255" spans="1:18" s="462" customFormat="1" ht="16.350000000000001" customHeight="1">
      <c r="C255" s="559"/>
      <c r="D255" s="559"/>
      <c r="E255" s="837"/>
      <c r="G255" s="811"/>
      <c r="H255" s="811"/>
      <c r="I255" s="812"/>
      <c r="J255" s="811"/>
      <c r="K255" s="811"/>
      <c r="L255" s="811"/>
      <c r="M255" s="811"/>
      <c r="N255" s="811"/>
      <c r="O255" s="811"/>
      <c r="P255" s="811"/>
      <c r="Q255" s="811"/>
      <c r="R255" s="811"/>
    </row>
    <row r="256" spans="1:18" s="462" customFormat="1" ht="40.950000000000003" customHeight="1">
      <c r="C256" s="559"/>
      <c r="D256" s="559"/>
      <c r="E256" s="837"/>
      <c r="G256" s="811"/>
      <c r="H256" s="811"/>
      <c r="I256" s="812"/>
      <c r="J256" s="811"/>
      <c r="K256" s="811"/>
      <c r="L256" s="811"/>
      <c r="M256" s="811"/>
      <c r="N256" s="811"/>
      <c r="O256" s="811"/>
      <c r="P256" s="811"/>
      <c r="Q256" s="811"/>
      <c r="R256" s="811"/>
    </row>
    <row r="257" spans="1:18" s="462" customFormat="1" ht="40.950000000000003" customHeight="1">
      <c r="C257" s="559"/>
      <c r="D257" s="559"/>
      <c r="E257" s="837"/>
      <c r="G257" s="811"/>
      <c r="H257" s="811"/>
      <c r="I257" s="812"/>
      <c r="J257" s="811"/>
      <c r="K257" s="811"/>
      <c r="L257" s="811"/>
      <c r="M257" s="811"/>
      <c r="N257" s="811"/>
      <c r="O257" s="811"/>
      <c r="P257" s="811"/>
      <c r="Q257" s="811"/>
      <c r="R257" s="811"/>
    </row>
    <row r="258" spans="1:18" s="462" customFormat="1" ht="40.950000000000003" customHeight="1">
      <c r="C258" s="559"/>
      <c r="D258" s="559"/>
      <c r="E258" s="837"/>
      <c r="G258" s="811"/>
      <c r="H258" s="811"/>
      <c r="I258" s="812"/>
      <c r="J258" s="811"/>
      <c r="K258" s="811"/>
      <c r="L258" s="811"/>
      <c r="M258" s="811"/>
      <c r="N258" s="811"/>
      <c r="O258" s="811"/>
      <c r="P258" s="811"/>
      <c r="Q258" s="811"/>
      <c r="R258" s="811"/>
    </row>
    <row r="259" spans="1:18" s="462" customFormat="1" ht="40.950000000000003" customHeight="1">
      <c r="C259" s="559"/>
      <c r="D259" s="559"/>
      <c r="E259" s="837"/>
      <c r="G259" s="811"/>
      <c r="H259" s="811"/>
      <c r="I259" s="812"/>
      <c r="J259" s="811"/>
      <c r="K259" s="811"/>
      <c r="L259" s="811"/>
      <c r="M259" s="811"/>
      <c r="N259" s="811"/>
      <c r="O259" s="811"/>
      <c r="P259" s="811"/>
      <c r="Q259" s="811"/>
      <c r="R259" s="811"/>
    </row>
    <row r="260" spans="1:18" s="462" customFormat="1" ht="40.950000000000003" customHeight="1">
      <c r="C260" s="559"/>
      <c r="D260" s="559"/>
      <c r="E260" s="837"/>
      <c r="G260" s="811"/>
      <c r="H260" s="811"/>
      <c r="I260" s="812"/>
      <c r="J260" s="811"/>
      <c r="K260" s="811"/>
      <c r="L260" s="811"/>
      <c r="M260" s="811"/>
      <c r="N260" s="811"/>
      <c r="O260" s="811"/>
      <c r="P260" s="811"/>
      <c r="Q260" s="811"/>
      <c r="R260" s="811"/>
    </row>
    <row r="261" spans="1:18" s="462" customFormat="1" ht="31.5" customHeight="1">
      <c r="C261" s="559"/>
      <c r="D261" s="559"/>
      <c r="E261" s="837"/>
      <c r="G261" s="811"/>
      <c r="H261" s="811"/>
      <c r="I261" s="812"/>
      <c r="J261" s="811"/>
      <c r="K261" s="811"/>
      <c r="L261" s="811"/>
      <c r="M261" s="811"/>
      <c r="N261" s="811"/>
      <c r="O261" s="811"/>
      <c r="P261" s="811"/>
      <c r="Q261" s="811"/>
      <c r="R261" s="811"/>
    </row>
    <row r="262" spans="1:18" s="462" customFormat="1" ht="23.25" customHeight="1">
      <c r="C262" s="559"/>
      <c r="D262" s="559"/>
      <c r="E262" s="837"/>
      <c r="G262" s="811"/>
      <c r="H262" s="811"/>
      <c r="I262" s="812"/>
      <c r="J262" s="811"/>
      <c r="K262" s="811"/>
      <c r="L262" s="811"/>
      <c r="M262" s="811"/>
      <c r="N262" s="811"/>
      <c r="O262" s="811"/>
      <c r="P262" s="811"/>
      <c r="Q262" s="811"/>
      <c r="R262" s="811"/>
    </row>
    <row r="263" spans="1:18" s="462" customFormat="1" ht="16.350000000000001" customHeight="1">
      <c r="A263" s="1146" t="s">
        <v>1125</v>
      </c>
      <c r="B263" s="1147"/>
      <c r="C263" s="1148" t="s">
        <v>544</v>
      </c>
      <c r="D263" s="1148"/>
      <c r="E263" s="881" t="s">
        <v>1126</v>
      </c>
      <c r="G263" s="811"/>
      <c r="H263" s="811"/>
      <c r="I263" s="812"/>
      <c r="J263" s="811"/>
      <c r="K263" s="811"/>
      <c r="L263" s="811"/>
      <c r="M263" s="811"/>
      <c r="N263" s="811"/>
      <c r="O263" s="811"/>
      <c r="P263" s="811"/>
      <c r="Q263" s="811"/>
      <c r="R263" s="811"/>
    </row>
    <row r="264" spans="1:18" ht="9.75" customHeight="1">
      <c r="A264" s="215"/>
      <c r="B264" s="215"/>
      <c r="C264" s="1155" t="str">
        <f>IF(Worksheet!W39=1,"This Data Grading Criteria is hidden when the 'default' input is used on the Worksheet","")</f>
        <v>This Data Grading Criteria is hidden when the 'default' input is used on the Worksheet</v>
      </c>
      <c r="D264" s="1155"/>
      <c r="E264" s="744"/>
      <c r="F264" s="327"/>
      <c r="H264" s="803"/>
      <c r="I264" s="803"/>
    </row>
    <row r="265" spans="1:18" s="567" customFormat="1" ht="12">
      <c r="A265" s="563"/>
      <c r="B265" s="564" t="s">
        <v>545</v>
      </c>
      <c r="C265" s="565" t="s">
        <v>298</v>
      </c>
      <c r="D265" s="565" t="s">
        <v>655</v>
      </c>
      <c r="E265" s="743"/>
      <c r="F265" s="566"/>
      <c r="G265" s="804"/>
      <c r="H265" s="805" t="s">
        <v>297</v>
      </c>
      <c r="I265" s="805"/>
      <c r="J265" s="804" t="s">
        <v>786</v>
      </c>
      <c r="K265" s="804"/>
      <c r="L265" s="804"/>
      <c r="M265" s="804"/>
      <c r="N265" s="804"/>
      <c r="O265" s="804"/>
      <c r="P265" s="804"/>
      <c r="Q265" s="804"/>
      <c r="R265" s="804"/>
    </row>
    <row r="266" spans="1:18" ht="27.6" customHeight="1">
      <c r="A266" s="215"/>
      <c r="B266" s="546" t="s">
        <v>546</v>
      </c>
      <c r="C266" s="873" t="str">
        <f>SDHE!B34</f>
        <v xml:space="preserve">On the Worksheet, the status of the default option is: </v>
      </c>
      <c r="D266" s="333" t="str">
        <f>IF(AND(Worksheet!W39=2,Worksheet!Q39&gt;0),SDHE!A2,SDHE!A3)</f>
        <v>Default is used because Custom Value is selected but no value has been entered</v>
      </c>
      <c r="F266" s="327"/>
      <c r="H266" s="799" t="s">
        <v>521</v>
      </c>
      <c r="I266" s="806"/>
      <c r="J266" s="799" t="s">
        <v>830</v>
      </c>
    </row>
    <row r="267" spans="1:18" ht="27.6" customHeight="1">
      <c r="A267" s="215"/>
      <c r="B267" s="546" t="s">
        <v>527</v>
      </c>
      <c r="C267" s="873" t="str">
        <f>SDHE!B35</f>
        <v>Which best describes how the input was derived?</v>
      </c>
      <c r="D267" s="331"/>
      <c r="E267" s="743" t="str">
        <f>IF(OR($D$271=10,$D$271=3),"",IFERROR(IF(H267=MIN($H$267:$H$270),"Limiting",""),""))</f>
        <v/>
      </c>
      <c r="F267" s="327"/>
      <c r="H267" s="807" t="e">
        <f>VLOOKUP('Interactive Data Grading'!D267,SDHE!$C$6:$G$15,5,FALSE)</f>
        <v>#N/A</v>
      </c>
      <c r="I267" s="807"/>
    </row>
    <row r="268" spans="1:18" ht="27.6" customHeight="1">
      <c r="A268" s="215"/>
      <c r="B268" s="546" t="s">
        <v>528</v>
      </c>
      <c r="C268" s="873" t="str">
        <f>SDHE!B36</f>
        <v>Which best describes validation performed in the billing software for multipliers (conversions between unit of meter reading and unit of billing)?</v>
      </c>
      <c r="D268" s="331"/>
      <c r="E268" s="743" t="str">
        <f>IF(OR($D$271=10,$D$271=3),"",IFERROR(IF(H268=MIN($H$267:$H$270),"Limiting",""),""))</f>
        <v/>
      </c>
      <c r="F268" s="327"/>
      <c r="H268" s="807" t="e">
        <f>VLOOKUP('Interactive Data Grading'!D268,SDHE!$D$6:$G$15,4,FALSE)</f>
        <v>#N/A</v>
      </c>
      <c r="I268" s="808"/>
    </row>
    <row r="269" spans="1:18" ht="35.25" customHeight="1">
      <c r="A269" s="215"/>
      <c r="B269" s="546" t="s">
        <v>529</v>
      </c>
      <c r="C269" s="873" t="str">
        <f>SDHE!B37</f>
        <v>Which best describes the policy for new service accounts to ensure there is no lapse between start of customer water usage and start of measurement/billing?</v>
      </c>
      <c r="D269" s="331"/>
      <c r="E269" s="743" t="str">
        <f>IF(OR($D$271=10,$D$271=3),"",IFERROR(IF(H269=MIN($H$267:$H$270),"Limiting",""),""))</f>
        <v/>
      </c>
      <c r="F269" s="327"/>
      <c r="H269" s="807" t="e">
        <f>VLOOKUP('Interactive Data Grading'!D269,SDHE!$E$6:$G$15,3,FALSE)</f>
        <v>#N/A</v>
      </c>
      <c r="I269" s="808"/>
    </row>
    <row r="270" spans="1:18" ht="27.6" customHeight="1">
      <c r="A270" s="215"/>
      <c r="B270" s="546" t="s">
        <v>530</v>
      </c>
      <c r="C270" s="873" t="str">
        <f>SDHE!B38</f>
        <v>Which best describes auditing that takes place on the billing process?</v>
      </c>
      <c r="D270" s="331"/>
      <c r="E270" s="743" t="str">
        <f>IF(OR($D$271=10,$D$271=3),"",IFERROR(IF(H270=MIN($H$267:$H$270),"Limiting",""),""))</f>
        <v/>
      </c>
      <c r="F270" s="327"/>
      <c r="H270" s="807" t="e">
        <f>VLOOKUP('Interactive Data Grading'!D270,SDHE!$F$6:$G$15,2,FALSE)</f>
        <v>#N/A</v>
      </c>
      <c r="I270" s="808"/>
      <c r="N270" s="1154"/>
      <c r="O270" s="1154"/>
    </row>
    <row r="271" spans="1:18" ht="27.6" customHeight="1">
      <c r="A271" s="215"/>
      <c r="B271" s="215"/>
      <c r="C271" s="328" t="s">
        <v>308</v>
      </c>
      <c r="D271" s="884">
        <f>IFERROR((IF(D266=SDHE!A3,3,H271)),"")</f>
        <v>3</v>
      </c>
      <c r="E271" s="743"/>
      <c r="F271" s="327"/>
      <c r="H271" s="810" t="e">
        <f>MIN(H267:H270)</f>
        <v>#N/A</v>
      </c>
      <c r="I271" s="807"/>
    </row>
    <row r="272" spans="1:18"/>
    <row r="273" spans="1:18"/>
    <row r="274" spans="1:18"/>
    <row r="275" spans="1:18"/>
    <row r="276" spans="1:18"/>
    <row r="277" spans="1:18"/>
    <row r="278" spans="1:18"/>
    <row r="279" spans="1:18" s="462" customFormat="1" ht="16.350000000000001" customHeight="1">
      <c r="C279" s="559"/>
      <c r="D279" s="559"/>
      <c r="E279" s="837"/>
      <c r="G279" s="811"/>
      <c r="H279" s="811"/>
      <c r="I279" s="812"/>
      <c r="J279" s="811"/>
      <c r="K279" s="811"/>
      <c r="L279" s="811"/>
      <c r="M279" s="811"/>
      <c r="N279" s="811"/>
      <c r="O279" s="811"/>
      <c r="P279" s="811"/>
      <c r="Q279" s="811"/>
      <c r="R279" s="811"/>
    </row>
    <row r="280" spans="1:18" s="462" customFormat="1" ht="16.350000000000001" customHeight="1">
      <c r="C280" s="559"/>
      <c r="D280" s="559"/>
      <c r="E280" s="837"/>
      <c r="G280" s="811"/>
      <c r="H280" s="811"/>
      <c r="I280" s="812"/>
      <c r="J280" s="811"/>
      <c r="K280" s="811"/>
      <c r="L280" s="811"/>
      <c r="M280" s="811"/>
      <c r="N280" s="811"/>
      <c r="O280" s="811"/>
      <c r="P280" s="811"/>
      <c r="Q280" s="811"/>
      <c r="R280" s="811"/>
    </row>
    <row r="281" spans="1:18" s="462" customFormat="1" ht="52.95" customHeight="1">
      <c r="C281" s="559"/>
      <c r="D281" s="559"/>
      <c r="E281" s="837"/>
      <c r="G281" s="811"/>
      <c r="H281" s="811"/>
      <c r="I281" s="812"/>
      <c r="J281" s="811"/>
      <c r="K281" s="811"/>
      <c r="L281" s="811"/>
      <c r="M281" s="811"/>
      <c r="N281" s="811"/>
      <c r="O281" s="811"/>
      <c r="P281" s="811"/>
      <c r="Q281" s="811"/>
      <c r="R281" s="811"/>
    </row>
    <row r="282" spans="1:18" s="462" customFormat="1" ht="52.95" customHeight="1">
      <c r="C282" s="559"/>
      <c r="D282" s="559"/>
      <c r="E282" s="837"/>
      <c r="G282" s="811"/>
      <c r="H282" s="811"/>
      <c r="I282" s="812"/>
      <c r="J282" s="811"/>
      <c r="K282" s="811"/>
      <c r="L282" s="811"/>
      <c r="M282" s="811"/>
      <c r="N282" s="811"/>
      <c r="O282" s="811"/>
      <c r="P282" s="811"/>
      <c r="Q282" s="811"/>
      <c r="R282" s="811"/>
    </row>
    <row r="283" spans="1:18" s="462" customFormat="1" ht="52.95" customHeight="1">
      <c r="C283" s="559"/>
      <c r="D283" s="559"/>
      <c r="E283" s="837"/>
      <c r="G283" s="811"/>
      <c r="H283" s="811"/>
      <c r="I283" s="812"/>
      <c r="J283" s="811"/>
      <c r="K283" s="811"/>
      <c r="L283" s="811"/>
      <c r="M283" s="811"/>
      <c r="N283" s="811"/>
      <c r="O283" s="811"/>
      <c r="P283" s="811"/>
      <c r="Q283" s="811"/>
      <c r="R283" s="811"/>
    </row>
    <row r="284" spans="1:18" s="462" customFormat="1" ht="33" customHeight="1">
      <c r="C284" s="559"/>
      <c r="D284" s="559"/>
      <c r="E284" s="837"/>
      <c r="G284" s="811"/>
      <c r="H284" s="811"/>
      <c r="I284" s="812"/>
      <c r="J284" s="811"/>
      <c r="K284" s="811"/>
      <c r="L284" s="811"/>
      <c r="M284" s="811"/>
      <c r="N284" s="811"/>
      <c r="O284" s="811"/>
      <c r="P284" s="811"/>
      <c r="Q284" s="811"/>
      <c r="R284" s="811"/>
    </row>
    <row r="285" spans="1:18" s="462" customFormat="1" ht="25.5" customHeight="1">
      <c r="C285" s="559"/>
      <c r="D285" s="559"/>
      <c r="E285" s="837"/>
      <c r="G285" s="811"/>
      <c r="H285" s="811"/>
      <c r="I285" s="812"/>
      <c r="J285" s="811"/>
      <c r="K285" s="811"/>
      <c r="L285" s="811"/>
      <c r="M285" s="811"/>
      <c r="N285" s="811"/>
      <c r="O285" s="811"/>
      <c r="P285" s="811"/>
      <c r="Q285" s="811"/>
      <c r="R285" s="811"/>
    </row>
    <row r="286" spans="1:18" s="462" customFormat="1" ht="26.25" customHeight="1">
      <c r="C286" s="559"/>
      <c r="D286" s="559"/>
      <c r="E286" s="837"/>
      <c r="G286" s="811"/>
      <c r="H286" s="811"/>
      <c r="I286" s="812"/>
      <c r="J286" s="811"/>
      <c r="K286" s="811"/>
      <c r="L286" s="811"/>
      <c r="M286" s="811"/>
      <c r="N286" s="811"/>
      <c r="O286" s="811"/>
      <c r="P286" s="811"/>
      <c r="Q286" s="811"/>
      <c r="R286" s="811"/>
    </row>
    <row r="287" spans="1:18" s="462" customFormat="1" ht="16.350000000000001" customHeight="1">
      <c r="A287" s="1146" t="s">
        <v>1125</v>
      </c>
      <c r="B287" s="1147"/>
      <c r="C287" s="1148" t="s">
        <v>515</v>
      </c>
      <c r="D287" s="1148"/>
      <c r="E287" s="881" t="s">
        <v>1126</v>
      </c>
      <c r="G287" s="811"/>
      <c r="H287" s="811"/>
      <c r="I287" s="812"/>
      <c r="J287" s="811"/>
      <c r="K287" s="811"/>
      <c r="L287" s="811"/>
      <c r="M287" s="811"/>
      <c r="N287" s="811"/>
      <c r="O287" s="811"/>
      <c r="P287" s="811"/>
      <c r="Q287" s="811"/>
      <c r="R287" s="811"/>
    </row>
    <row r="288" spans="1:18" ht="12" customHeight="1">
      <c r="A288" s="215"/>
      <c r="B288" s="215"/>
      <c r="C288" s="1149" t="str">
        <f>IF(OR(AND(D290="Yes",Worksheet!Y25&gt;0),AND(D290="No",Worksheet!Y25&lt;=0),LEN(D290)=0),"","Inconsistency between Worksheet CMI input and cmi.0 response")</f>
        <v/>
      </c>
      <c r="D288" s="1149"/>
      <c r="E288" s="744"/>
      <c r="F288" s="327"/>
      <c r="H288" s="803"/>
      <c r="I288" s="803"/>
    </row>
    <row r="289" spans="1:18" s="567" customFormat="1" ht="12">
      <c r="A289" s="563"/>
      <c r="B289" s="564" t="s">
        <v>516</v>
      </c>
      <c r="C289" s="565" t="s">
        <v>298</v>
      </c>
      <c r="D289" s="565" t="s">
        <v>655</v>
      </c>
      <c r="E289" s="743"/>
      <c r="F289" s="566"/>
      <c r="G289" s="804"/>
      <c r="H289" s="805" t="s">
        <v>297</v>
      </c>
      <c r="I289" s="805"/>
      <c r="J289" s="804" t="s">
        <v>786</v>
      </c>
      <c r="K289" s="804"/>
      <c r="L289" s="804"/>
      <c r="M289" s="804"/>
      <c r="N289" s="804"/>
      <c r="O289" s="804"/>
      <c r="P289" s="804"/>
      <c r="Q289" s="804"/>
      <c r="R289" s="804"/>
    </row>
    <row r="290" spans="1:18" ht="29.4" customHeight="1">
      <c r="A290" s="215"/>
      <c r="B290" s="546" t="s">
        <v>517</v>
      </c>
      <c r="C290" s="873" t="str">
        <f>CMI!B34</f>
        <v>Was there any metered customer usage during the audit period?</v>
      </c>
      <c r="D290" s="329"/>
      <c r="E290" s="743"/>
      <c r="F290" s="327"/>
      <c r="G290" s="799">
        <f t="shared" ref="G290:G299" si="16">IF(LEN(D290)&gt;0,1,0)</f>
        <v>0</v>
      </c>
      <c r="I290" s="806"/>
      <c r="J290" s="799" t="s">
        <v>837</v>
      </c>
    </row>
    <row r="291" spans="1:18" ht="29.4" customHeight="1">
      <c r="A291" s="215"/>
      <c r="B291" s="546" t="s">
        <v>495</v>
      </c>
      <c r="C291" s="873" t="str">
        <f>CMI!B35</f>
        <v>Do you test meters reactively (when triggered by customer complaint or billing/consumption flag)?</v>
      </c>
      <c r="D291" s="329"/>
      <c r="E291" s="743" t="str">
        <f t="shared" ref="E291:E298" si="17">IFERROR(IF(OR($D$300=10,NOT(ISNUMBER($D$300))),"",IF(H291=$H$300,"Limiting","")),"")</f>
        <v/>
      </c>
      <c r="F291" s="327"/>
      <c r="G291" s="799">
        <f>IF(LEN(D291)&gt;0,1,0)</f>
        <v>0</v>
      </c>
      <c r="H291" s="807" t="e">
        <f>VLOOKUP('Interactive Data Grading'!D291,CMI!$C$6:$J$16,8,FALSE)</f>
        <v>#N/A</v>
      </c>
      <c r="I291" s="807" t="e">
        <f>H291</f>
        <v>#N/A</v>
      </c>
    </row>
    <row r="292" spans="1:18" ht="39.75" customHeight="1">
      <c r="A292" s="215"/>
      <c r="B292" s="546" t="s">
        <v>496</v>
      </c>
      <c r="C292" s="873" t="str">
        <f>CMI!B36</f>
        <v>For small size customer meters, which best describes the frequency of proactive testing (effort beyond when triggered by customer complaint or billing/consumption flags)?</v>
      </c>
      <c r="D292" s="329"/>
      <c r="E292" s="743" t="str">
        <f t="shared" si="17"/>
        <v/>
      </c>
      <c r="F292" s="327"/>
      <c r="G292" s="799">
        <f t="shared" si="16"/>
        <v>0</v>
      </c>
      <c r="H292" s="807" t="e">
        <f>VLOOKUP('Interactive Data Grading'!D292,CMI!$D$6:$J$16,7,FALSE)</f>
        <v>#N/A</v>
      </c>
      <c r="I292" s="807" t="e">
        <f>H292</f>
        <v>#N/A</v>
      </c>
      <c r="N292" s="1154"/>
      <c r="O292" s="1154"/>
    </row>
    <row r="293" spans="1:18" ht="29.4" customHeight="1">
      <c r="A293" s="215"/>
      <c r="B293" s="546" t="s">
        <v>518</v>
      </c>
      <c r="C293" s="873" t="str">
        <f>CMI!B37</f>
        <v xml:space="preserve">Which best describes what meters are included in the proactive small size customer meter testing activities? </v>
      </c>
      <c r="D293" s="329"/>
      <c r="E293" s="743" t="str">
        <f t="shared" si="17"/>
        <v/>
      </c>
      <c r="F293" s="327"/>
      <c r="G293" s="799">
        <f>IF(OR($D$292=CMI!$D$23,$D$292=CMI!$D$24,$D$292=CMI!$D$27),1,IF(LEN(D293)&gt;0,1,0))</f>
        <v>0</v>
      </c>
      <c r="H293" s="807" t="e">
        <f>VLOOKUP('Interactive Data Grading'!D293,CMI!$E$6:$J$16,6,FALSE)</f>
        <v>#N/A</v>
      </c>
      <c r="I293" s="807" t="e">
        <f>IF(OR(D292=CMI!D23,D292=CMI!D24),X,H293)</f>
        <v>#N/A</v>
      </c>
      <c r="J293" s="799" t="s">
        <v>496</v>
      </c>
    </row>
    <row r="294" spans="1:18" ht="29.4" customHeight="1">
      <c r="A294" s="215"/>
      <c r="B294" s="546" t="s">
        <v>519</v>
      </c>
      <c r="C294" s="873" t="str">
        <f>CMI!B38</f>
        <v>For mid and large size customer meters, which best describes the frequency of the proactive testing program?</v>
      </c>
      <c r="D294" s="329"/>
      <c r="E294" s="743" t="str">
        <f t="shared" si="17"/>
        <v/>
      </c>
      <c r="F294" s="327"/>
      <c r="G294" s="799">
        <f t="shared" si="16"/>
        <v>0</v>
      </c>
      <c r="H294" s="807" t="e">
        <f>VLOOKUP('Interactive Data Grading'!D294,CMI!$F$6:$J$16,5,FALSE)</f>
        <v>#N/A</v>
      </c>
      <c r="I294" s="807" t="e">
        <f>H294</f>
        <v>#N/A</v>
      </c>
    </row>
    <row r="295" spans="1:18" ht="29.4" customHeight="1">
      <c r="A295" s="215"/>
      <c r="B295" s="546" t="s">
        <v>497</v>
      </c>
      <c r="C295" s="873" t="str">
        <f>CMI!B39</f>
        <v xml:space="preserve">Which best describes what meters are included in the proactive mid- and large customer meter testing activities? </v>
      </c>
      <c r="D295" s="329"/>
      <c r="E295" s="743" t="str">
        <f t="shared" si="17"/>
        <v/>
      </c>
      <c r="F295" s="327"/>
      <c r="G295" s="888">
        <f>IF(OR($D$294=CMI!$F$23,$D$294=CMI!F$24),1,IF(LEN(D295)&gt;0,1,0))</f>
        <v>0</v>
      </c>
      <c r="H295" s="807" t="e">
        <f>VLOOKUP('Interactive Data Grading'!D295,CMI!$G$6:$J$16,4,FALSE)</f>
        <v>#N/A</v>
      </c>
      <c r="I295" s="807" t="e">
        <f>IF(OR(D294=CMI!F23,D294=CMI!F24),X,H295)</f>
        <v>#N/A</v>
      </c>
      <c r="J295" s="799" t="s">
        <v>519</v>
      </c>
    </row>
    <row r="296" spans="1:18" ht="29.4" customHeight="1">
      <c r="A296" s="215"/>
      <c r="B296" s="546" t="s">
        <v>520</v>
      </c>
      <c r="C296" s="873" t="str">
        <f>CMI!B40</f>
        <v>Which best describes how the input was derived?</v>
      </c>
      <c r="D296" s="329"/>
      <c r="E296" s="743" t="str">
        <f t="shared" si="17"/>
        <v/>
      </c>
      <c r="F296" s="327"/>
      <c r="G296" s="799">
        <f t="shared" si="16"/>
        <v>0</v>
      </c>
      <c r="H296" s="807" t="e">
        <f>VLOOKUP('Interactive Data Grading'!D296,CMI!$H$6:$J$16,3,FALSE)</f>
        <v>#N/A</v>
      </c>
      <c r="I296" s="807" t="e">
        <f>H296</f>
        <v>#N/A</v>
      </c>
    </row>
    <row r="297" spans="1:18" ht="29.4" customHeight="1">
      <c r="A297" s="215"/>
      <c r="B297" s="546" t="s">
        <v>498</v>
      </c>
      <c r="C297" s="873" t="str">
        <f>CMI!B41</f>
        <v>Has the input derivation been reviewed by someone with expert knowledge in the M36 methodology?</v>
      </c>
      <c r="D297" s="329"/>
      <c r="E297" s="743" t="str">
        <f t="shared" si="17"/>
        <v/>
      </c>
      <c r="F297" s="327"/>
      <c r="G297" s="799">
        <f t="shared" si="16"/>
        <v>0</v>
      </c>
      <c r="H297" s="807" t="e">
        <f>VLOOKUP('Interactive Data Grading'!D297,CMI!$I$6:$J$16,2,FALSE)</f>
        <v>#N/A</v>
      </c>
      <c r="I297" s="807" t="e">
        <f>H297</f>
        <v>#N/A</v>
      </c>
    </row>
    <row r="298" spans="1:18" ht="29.4" customHeight="1">
      <c r="A298" s="215"/>
      <c r="B298" s="546" t="s">
        <v>499</v>
      </c>
      <c r="C298" s="873" t="str">
        <f>CMI!B42</f>
        <v>To what extent does meter replacement occur and for which meters?</v>
      </c>
      <c r="D298" s="329"/>
      <c r="E298" s="743" t="str">
        <f t="shared" si="17"/>
        <v/>
      </c>
      <c r="F298" s="327"/>
      <c r="G298" s="799">
        <f t="shared" si="16"/>
        <v>0</v>
      </c>
      <c r="H298" s="807"/>
      <c r="I298" s="807"/>
      <c r="J298" s="799" t="s">
        <v>746</v>
      </c>
    </row>
    <row r="299" spans="1:18" ht="29.4" customHeight="1">
      <c r="A299" s="215"/>
      <c r="B299" s="546" t="s">
        <v>500</v>
      </c>
      <c r="C299" s="873" t="str">
        <f>CMI!B43</f>
        <v>Which best describes the reliability of meter installation records?</v>
      </c>
      <c r="D299" s="334"/>
      <c r="E299" s="743"/>
      <c r="F299" s="327"/>
      <c r="G299" s="799">
        <f t="shared" si="16"/>
        <v>0</v>
      </c>
      <c r="H299" s="807"/>
      <c r="I299" s="807"/>
      <c r="J299" s="799" t="s">
        <v>746</v>
      </c>
    </row>
    <row r="300" spans="1:18" ht="29.4" customHeight="1">
      <c r="A300" s="215"/>
      <c r="B300" s="215"/>
      <c r="C300" s="328" t="s">
        <v>308</v>
      </c>
      <c r="D300" s="747" t="str">
        <f>IF(D290="No","n/a",IF(G300=0,"",I300))</f>
        <v/>
      </c>
      <c r="E300" s="743"/>
      <c r="F300" s="327"/>
      <c r="G300" s="799">
        <f>MIN(G290:G299)</f>
        <v>0</v>
      </c>
      <c r="H300" s="810">
        <f t="array" ref="H300">MIN(IF(ISNUMBER(H291:H297),H291:H297))</f>
        <v>0</v>
      </c>
      <c r="I300" s="810">
        <f t="array" ref="I300">MIN(IF(ISNUMBER(I290:I299),I290:I299))</f>
        <v>0</v>
      </c>
    </row>
    <row r="301" spans="1:18" s="462" customFormat="1" ht="16.350000000000001" customHeight="1">
      <c r="C301" s="559"/>
      <c r="D301" s="559"/>
      <c r="E301" s="837"/>
      <c r="G301" s="811"/>
      <c r="H301" s="811"/>
      <c r="I301" s="812"/>
      <c r="J301" s="811"/>
      <c r="K301" s="811"/>
      <c r="L301" s="811"/>
      <c r="M301" s="811"/>
      <c r="N301" s="811"/>
      <c r="O301" s="811"/>
      <c r="P301" s="811"/>
      <c r="Q301" s="811"/>
      <c r="R301" s="811"/>
    </row>
    <row r="302" spans="1:18" s="462" customFormat="1" ht="16.350000000000001" customHeight="1">
      <c r="C302" s="559"/>
      <c r="D302" s="559"/>
      <c r="E302" s="837"/>
      <c r="G302" s="811"/>
      <c r="H302" s="811"/>
      <c r="I302" s="812"/>
      <c r="J302" s="811"/>
      <c r="K302" s="811"/>
      <c r="L302" s="811"/>
      <c r="M302" s="811"/>
      <c r="N302" s="811"/>
      <c r="O302" s="811"/>
      <c r="P302" s="811"/>
      <c r="Q302" s="811"/>
      <c r="R302" s="811"/>
    </row>
    <row r="303" spans="1:18" s="462" customFormat="1" ht="16.350000000000001" customHeight="1">
      <c r="C303" s="559"/>
      <c r="D303" s="559"/>
      <c r="E303" s="837"/>
      <c r="G303" s="811"/>
      <c r="H303" s="811"/>
      <c r="I303" s="812"/>
      <c r="J303" s="811"/>
      <c r="K303" s="811"/>
      <c r="L303" s="811"/>
      <c r="M303" s="811"/>
      <c r="N303" s="811"/>
      <c r="O303" s="811"/>
      <c r="P303" s="811"/>
      <c r="Q303" s="811"/>
      <c r="R303" s="811"/>
    </row>
    <row r="304" spans="1:18" s="462" customFormat="1" ht="16.350000000000001" customHeight="1">
      <c r="C304" s="559"/>
      <c r="D304" s="559"/>
      <c r="E304" s="837"/>
      <c r="G304" s="811"/>
      <c r="H304" s="811"/>
      <c r="I304" s="812"/>
      <c r="J304" s="811"/>
      <c r="K304" s="811"/>
      <c r="L304" s="811"/>
      <c r="M304" s="811"/>
      <c r="N304" s="811"/>
      <c r="O304" s="811"/>
      <c r="P304" s="811"/>
      <c r="Q304" s="811"/>
      <c r="R304" s="811"/>
    </row>
    <row r="305" spans="1:18" s="462" customFormat="1" ht="16.350000000000001" customHeight="1">
      <c r="C305" s="559"/>
      <c r="D305" s="559"/>
      <c r="E305" s="837"/>
      <c r="G305" s="811"/>
      <c r="H305" s="811"/>
      <c r="I305" s="812"/>
      <c r="J305" s="811"/>
      <c r="K305" s="811"/>
      <c r="L305" s="811"/>
      <c r="M305" s="811"/>
      <c r="N305" s="811"/>
      <c r="O305" s="811"/>
      <c r="P305" s="811"/>
      <c r="Q305" s="811"/>
      <c r="R305" s="811"/>
    </row>
    <row r="306" spans="1:18" s="462" customFormat="1" ht="16.350000000000001" customHeight="1">
      <c r="C306" s="559"/>
      <c r="D306" s="559"/>
      <c r="E306" s="837"/>
      <c r="G306" s="811"/>
      <c r="H306" s="811"/>
      <c r="I306" s="812"/>
      <c r="J306" s="811"/>
      <c r="K306" s="811"/>
      <c r="L306" s="811"/>
      <c r="M306" s="811"/>
      <c r="N306" s="811"/>
      <c r="O306" s="811"/>
      <c r="P306" s="811"/>
      <c r="Q306" s="811"/>
      <c r="R306" s="811"/>
    </row>
    <row r="307" spans="1:18" s="462" customFormat="1" ht="16.350000000000001" customHeight="1">
      <c r="C307" s="559"/>
      <c r="D307" s="559"/>
      <c r="E307" s="837"/>
      <c r="G307" s="811"/>
      <c r="H307" s="811"/>
      <c r="I307" s="812"/>
      <c r="J307" s="811"/>
      <c r="K307" s="811"/>
      <c r="L307" s="811"/>
      <c r="M307" s="811"/>
      <c r="N307" s="811"/>
      <c r="O307" s="811"/>
      <c r="P307" s="811"/>
      <c r="Q307" s="811"/>
      <c r="R307" s="811"/>
    </row>
    <row r="308" spans="1:18" s="462" customFormat="1" ht="16.350000000000001" customHeight="1">
      <c r="C308" s="559"/>
      <c r="D308" s="559"/>
      <c r="E308" s="837"/>
      <c r="G308" s="811"/>
      <c r="H308" s="811"/>
      <c r="I308" s="812"/>
      <c r="J308" s="811"/>
      <c r="K308" s="811"/>
      <c r="L308" s="811"/>
      <c r="M308" s="811"/>
      <c r="N308" s="811"/>
      <c r="O308" s="811"/>
      <c r="P308" s="811"/>
      <c r="Q308" s="811"/>
      <c r="R308" s="811"/>
    </row>
    <row r="309" spans="1:18" s="462" customFormat="1" ht="16.350000000000001" customHeight="1">
      <c r="C309" s="559"/>
      <c r="D309" s="559"/>
      <c r="E309" s="837"/>
      <c r="G309" s="811"/>
      <c r="H309" s="811"/>
      <c r="I309" s="812"/>
      <c r="J309" s="811"/>
      <c r="K309" s="811"/>
      <c r="L309" s="811"/>
      <c r="M309" s="811"/>
      <c r="N309" s="811"/>
      <c r="O309" s="811"/>
      <c r="P309" s="811"/>
      <c r="Q309" s="811"/>
      <c r="R309" s="811"/>
    </row>
    <row r="310" spans="1:18" s="462" customFormat="1" ht="9" customHeight="1">
      <c r="C310" s="559"/>
      <c r="D310" s="559"/>
      <c r="E310" s="837"/>
      <c r="G310" s="811"/>
      <c r="H310" s="811"/>
      <c r="I310" s="812"/>
      <c r="J310" s="811"/>
      <c r="K310" s="811"/>
      <c r="L310" s="811"/>
      <c r="M310" s="811"/>
      <c r="N310" s="811"/>
      <c r="O310" s="811"/>
      <c r="P310" s="811"/>
      <c r="Q310" s="811"/>
      <c r="R310" s="811"/>
    </row>
    <row r="311" spans="1:18" s="462" customFormat="1" ht="9" customHeight="1">
      <c r="C311" s="559"/>
      <c r="D311" s="559"/>
      <c r="E311" s="837"/>
      <c r="G311" s="811"/>
      <c r="H311" s="811"/>
      <c r="I311" s="812"/>
      <c r="J311" s="811"/>
      <c r="K311" s="811"/>
      <c r="L311" s="811"/>
      <c r="M311" s="811"/>
      <c r="N311" s="811"/>
      <c r="O311" s="811"/>
      <c r="P311" s="811"/>
      <c r="Q311" s="811"/>
      <c r="R311" s="811"/>
    </row>
    <row r="312" spans="1:18" s="462" customFormat="1" ht="9" customHeight="1">
      <c r="C312" s="559"/>
      <c r="D312" s="559"/>
      <c r="E312" s="837"/>
      <c r="G312" s="811"/>
      <c r="H312" s="811"/>
      <c r="I312" s="812"/>
      <c r="J312" s="811"/>
      <c r="K312" s="811"/>
      <c r="L312" s="811"/>
      <c r="M312" s="811"/>
      <c r="N312" s="811"/>
      <c r="O312" s="811"/>
      <c r="P312" s="811"/>
      <c r="Q312" s="811"/>
      <c r="R312" s="811"/>
    </row>
    <row r="313" spans="1:18" s="462" customFormat="1" ht="9" customHeight="1">
      <c r="C313" s="559"/>
      <c r="D313" s="559"/>
      <c r="E313" s="837"/>
      <c r="G313" s="811"/>
      <c r="H313" s="811"/>
      <c r="I313" s="812"/>
      <c r="J313" s="811"/>
      <c r="K313" s="811"/>
      <c r="L313" s="811"/>
      <c r="M313" s="811"/>
      <c r="N313" s="811"/>
      <c r="O313" s="811"/>
      <c r="P313" s="811"/>
      <c r="Q313" s="811"/>
      <c r="R313" s="811"/>
    </row>
    <row r="314" spans="1:18" s="462" customFormat="1" ht="16.350000000000001" customHeight="1">
      <c r="C314" s="559"/>
      <c r="D314" s="559"/>
      <c r="E314" s="837"/>
      <c r="G314" s="811"/>
      <c r="H314" s="811"/>
      <c r="I314" s="812"/>
      <c r="J314" s="811"/>
      <c r="K314" s="811"/>
      <c r="L314" s="811"/>
      <c r="M314" s="811"/>
      <c r="N314" s="811"/>
      <c r="O314" s="811"/>
      <c r="P314" s="811"/>
      <c r="Q314" s="811"/>
      <c r="R314" s="811"/>
    </row>
    <row r="315" spans="1:18" s="462" customFormat="1" ht="12" customHeight="1">
      <c r="C315" s="559"/>
      <c r="D315" s="559"/>
      <c r="E315" s="837"/>
      <c r="G315" s="811"/>
      <c r="H315" s="811"/>
      <c r="I315" s="812"/>
      <c r="J315" s="811"/>
      <c r="K315" s="811"/>
      <c r="L315" s="811"/>
      <c r="M315" s="811"/>
      <c r="N315" s="811"/>
      <c r="O315" s="811"/>
      <c r="P315" s="811"/>
      <c r="Q315" s="811"/>
      <c r="R315" s="811"/>
    </row>
    <row r="316" spans="1:18" s="462" customFormat="1" ht="16.350000000000001" customHeight="1">
      <c r="A316" s="1146" t="s">
        <v>1125</v>
      </c>
      <c r="B316" s="1147"/>
      <c r="C316" s="1148" t="s">
        <v>488</v>
      </c>
      <c r="D316" s="1148"/>
      <c r="E316" s="881" t="s">
        <v>1126</v>
      </c>
      <c r="G316" s="811"/>
      <c r="H316" s="811"/>
      <c r="I316" s="812"/>
      <c r="J316" s="811"/>
      <c r="K316" s="811"/>
      <c r="L316" s="811"/>
      <c r="M316" s="811"/>
      <c r="N316" s="811"/>
      <c r="O316" s="811"/>
      <c r="P316" s="811"/>
      <c r="Q316" s="811"/>
      <c r="R316" s="811"/>
    </row>
    <row r="317" spans="1:18" ht="9.75" customHeight="1">
      <c r="A317" s="215"/>
      <c r="B317" s="215"/>
      <c r="C317" s="1155" t="str">
        <f>IF(Worksheet!W43=1,"This Data Grading Criteria is hidden when the 'default' input is used on the Worksheet","")</f>
        <v>This Data Grading Criteria is hidden when the 'default' input is used on the Worksheet</v>
      </c>
      <c r="D317" s="1155"/>
      <c r="E317" s="744"/>
      <c r="F317" s="327"/>
      <c r="H317" s="803"/>
      <c r="I317" s="803"/>
    </row>
    <row r="318" spans="1:18" s="567" customFormat="1" ht="12">
      <c r="A318" s="563"/>
      <c r="B318" s="564" t="s">
        <v>489</v>
      </c>
      <c r="C318" s="565" t="s">
        <v>298</v>
      </c>
      <c r="D318" s="565" t="s">
        <v>655</v>
      </c>
      <c r="E318" s="743"/>
      <c r="F318" s="566"/>
      <c r="G318" s="804"/>
      <c r="H318" s="805" t="s">
        <v>297</v>
      </c>
      <c r="I318" s="805"/>
      <c r="J318" s="804" t="s">
        <v>786</v>
      </c>
      <c r="K318" s="804"/>
      <c r="L318" s="804"/>
      <c r="M318" s="804"/>
      <c r="N318" s="804"/>
      <c r="O318" s="804"/>
      <c r="P318" s="804"/>
      <c r="Q318" s="804"/>
      <c r="R318" s="804"/>
    </row>
    <row r="319" spans="1:18" ht="27.6" customHeight="1">
      <c r="A319" s="215"/>
      <c r="B319" s="546" t="s">
        <v>490</v>
      </c>
      <c r="C319" s="873" t="str">
        <f>UC!B34</f>
        <v xml:space="preserve">On the Worksheet, the status of the default option is: </v>
      </c>
      <c r="D319" s="333" t="str">
        <f>IF(AND(Worksheet!W43=2,Worksheet!Q43&gt;0),UC!A2,UC!A3)</f>
        <v>Default is used because Custom Value is selected but no value has been entered</v>
      </c>
      <c r="E319" s="743"/>
      <c r="F319" s="327"/>
      <c r="I319" s="806"/>
      <c r="J319" s="799" t="s">
        <v>830</v>
      </c>
    </row>
    <row r="320" spans="1:18" ht="27.6" customHeight="1">
      <c r="A320" s="215"/>
      <c r="B320" s="546" t="s">
        <v>482</v>
      </c>
      <c r="C320" s="873" t="str">
        <f>UC!B35</f>
        <v>Which best describes how the input was derived?</v>
      </c>
      <c r="D320" s="331"/>
      <c r="E320" s="743" t="str">
        <f>IF(OR($D$322=10,$D$322=3),"",IFERROR(IF(H320=MIN($H$320:$H$321),"Limiting",""),""))</f>
        <v/>
      </c>
      <c r="F320" s="327"/>
      <c r="H320" s="807" t="e">
        <f>VLOOKUP('Interactive Data Grading'!D320,UC!$C$6:$E$15,3,FALSE)</f>
        <v>#N/A</v>
      </c>
      <c r="I320" s="807"/>
    </row>
    <row r="321" spans="1:18" ht="27.6" customHeight="1">
      <c r="A321" s="215"/>
      <c r="B321" s="546" t="s">
        <v>483</v>
      </c>
      <c r="C321" s="873" t="str">
        <f>UC!B36</f>
        <v>Which best describes the extent of unauthorized consumption tracking and oversight?</v>
      </c>
      <c r="D321" s="331"/>
      <c r="E321" s="743" t="str">
        <f>IF(OR($D$322=10,$D$322=3),"",IFERROR(IF(H321=MIN($H$320:$H$321),"Limiting",""),""))</f>
        <v/>
      </c>
      <c r="F321" s="327"/>
      <c r="H321" s="807" t="e">
        <f>VLOOKUP('Interactive Data Grading'!D321,UC!$D$6:$E$15,2,FALSE)</f>
        <v>#N/A</v>
      </c>
      <c r="I321" s="808"/>
    </row>
    <row r="322" spans="1:18" ht="27.6" customHeight="1">
      <c r="A322" s="215"/>
      <c r="B322" s="215"/>
      <c r="C322" s="328" t="s">
        <v>308</v>
      </c>
      <c r="D322" s="884">
        <f>IFERROR((IF(D319=UC!A3,3,H322)),"")</f>
        <v>3</v>
      </c>
      <c r="E322" s="743"/>
      <c r="F322" s="327"/>
      <c r="H322" s="810" t="e">
        <f>MIN(H320:H321)</f>
        <v>#N/A</v>
      </c>
      <c r="I322" s="807"/>
    </row>
    <row r="323" spans="1:18"/>
    <row r="324" spans="1:18"/>
    <row r="325" spans="1:18" s="462" customFormat="1" ht="16.350000000000001" customHeight="1">
      <c r="C325" s="559"/>
      <c r="D325" s="559"/>
      <c r="E325" s="837"/>
      <c r="G325" s="811"/>
      <c r="H325" s="811"/>
      <c r="I325" s="812"/>
      <c r="J325" s="811"/>
      <c r="K325" s="811"/>
      <c r="L325" s="811"/>
      <c r="M325" s="811"/>
      <c r="N325" s="811"/>
      <c r="O325" s="811"/>
      <c r="P325" s="811"/>
      <c r="Q325" s="811"/>
      <c r="R325" s="811"/>
    </row>
    <row r="326" spans="1:18" s="462" customFormat="1" ht="16.350000000000001" customHeight="1">
      <c r="C326" s="559"/>
      <c r="D326" s="559"/>
      <c r="E326" s="837"/>
      <c r="G326" s="811"/>
      <c r="H326" s="811"/>
      <c r="I326" s="812"/>
      <c r="J326" s="811"/>
      <c r="K326" s="811"/>
      <c r="L326" s="811"/>
      <c r="M326" s="811"/>
      <c r="N326" s="811"/>
      <c r="O326" s="811"/>
      <c r="P326" s="811"/>
      <c r="Q326" s="811"/>
      <c r="R326" s="811"/>
    </row>
    <row r="327" spans="1:18" s="462" customFormat="1" ht="16.350000000000001" customHeight="1">
      <c r="C327" s="559"/>
      <c r="D327" s="559"/>
      <c r="E327" s="837"/>
      <c r="G327" s="811"/>
      <c r="H327" s="811"/>
      <c r="I327" s="812"/>
      <c r="J327" s="811"/>
      <c r="K327" s="811"/>
      <c r="L327" s="811"/>
      <c r="M327" s="811"/>
      <c r="N327" s="811"/>
      <c r="O327" s="811"/>
      <c r="P327" s="811"/>
      <c r="Q327" s="811"/>
      <c r="R327" s="811"/>
    </row>
    <row r="328" spans="1:18" s="462" customFormat="1" ht="16.350000000000001" customHeight="1">
      <c r="C328" s="559"/>
      <c r="D328" s="559"/>
      <c r="E328" s="837"/>
      <c r="G328" s="811"/>
      <c r="H328" s="811"/>
      <c r="I328" s="812"/>
      <c r="J328" s="811"/>
      <c r="K328" s="811"/>
      <c r="L328" s="811"/>
      <c r="M328" s="811"/>
      <c r="N328" s="811"/>
      <c r="O328" s="811"/>
      <c r="P328" s="811"/>
      <c r="Q328" s="811"/>
      <c r="R328" s="811"/>
    </row>
    <row r="329" spans="1:18" s="462" customFormat="1" ht="16.350000000000001" customHeight="1">
      <c r="C329" s="559"/>
      <c r="D329" s="559"/>
      <c r="E329" s="837"/>
      <c r="G329" s="811"/>
      <c r="H329" s="811"/>
      <c r="I329" s="812"/>
      <c r="J329" s="811"/>
      <c r="K329" s="811"/>
      <c r="L329" s="811"/>
      <c r="M329" s="811"/>
      <c r="N329" s="811"/>
      <c r="O329" s="811"/>
      <c r="P329" s="811"/>
      <c r="Q329" s="811"/>
      <c r="R329" s="811"/>
    </row>
    <row r="330" spans="1:18" s="462" customFormat="1" ht="16.350000000000001" customHeight="1">
      <c r="C330" s="559"/>
      <c r="D330" s="559"/>
      <c r="E330" s="837"/>
      <c r="G330" s="811"/>
      <c r="H330" s="811"/>
      <c r="I330" s="812"/>
      <c r="J330" s="811"/>
      <c r="K330" s="811"/>
      <c r="L330" s="811"/>
      <c r="M330" s="811"/>
      <c r="N330" s="811"/>
      <c r="O330" s="811"/>
      <c r="P330" s="811"/>
      <c r="Q330" s="811"/>
      <c r="R330" s="811"/>
    </row>
    <row r="331" spans="1:18" s="462" customFormat="1" ht="16.350000000000001" customHeight="1">
      <c r="C331" s="559"/>
      <c r="D331" s="559"/>
      <c r="E331" s="837"/>
      <c r="G331" s="811"/>
      <c r="H331" s="811"/>
      <c r="I331" s="812"/>
      <c r="J331" s="811"/>
      <c r="K331" s="811"/>
      <c r="L331" s="811"/>
      <c r="M331" s="811"/>
      <c r="N331" s="811"/>
      <c r="O331" s="811"/>
      <c r="P331" s="811"/>
      <c r="Q331" s="811"/>
      <c r="R331" s="811"/>
    </row>
    <row r="332" spans="1:18" s="462" customFormat="1" ht="16.350000000000001" customHeight="1">
      <c r="C332" s="559"/>
      <c r="D332" s="559"/>
      <c r="E332" s="837"/>
      <c r="G332" s="811"/>
      <c r="H332" s="811"/>
      <c r="I332" s="812"/>
      <c r="J332" s="811"/>
      <c r="K332" s="811"/>
      <c r="L332" s="811"/>
      <c r="M332" s="811"/>
      <c r="N332" s="811"/>
      <c r="O332" s="811"/>
      <c r="P332" s="811"/>
      <c r="Q332" s="811"/>
      <c r="R332" s="811"/>
    </row>
    <row r="333" spans="1:18" s="462" customFormat="1" ht="16.350000000000001" customHeight="1">
      <c r="C333" s="559"/>
      <c r="D333" s="559"/>
      <c r="E333" s="837"/>
      <c r="G333" s="811"/>
      <c r="H333" s="811"/>
      <c r="I333" s="812"/>
      <c r="J333" s="811"/>
      <c r="K333" s="811"/>
      <c r="L333" s="811"/>
      <c r="M333" s="811"/>
      <c r="N333" s="811"/>
      <c r="O333" s="811"/>
      <c r="P333" s="811"/>
      <c r="Q333" s="811"/>
      <c r="R333" s="811"/>
    </row>
    <row r="334" spans="1:18" s="462" customFormat="1" ht="16.350000000000001" customHeight="1">
      <c r="C334" s="559"/>
      <c r="D334" s="559"/>
      <c r="E334" s="837"/>
      <c r="G334" s="811"/>
      <c r="H334" s="811"/>
      <c r="I334" s="812"/>
      <c r="J334" s="811"/>
      <c r="K334" s="811"/>
      <c r="L334" s="811"/>
      <c r="M334" s="811"/>
      <c r="N334" s="811"/>
      <c r="O334" s="811"/>
      <c r="P334" s="811"/>
      <c r="Q334" s="811"/>
      <c r="R334" s="811"/>
    </row>
    <row r="335" spans="1:18" s="462" customFormat="1" ht="16.350000000000001" customHeight="1">
      <c r="C335" s="559"/>
      <c r="D335" s="559"/>
      <c r="E335" s="837"/>
      <c r="G335" s="811"/>
      <c r="H335" s="811"/>
      <c r="I335" s="812"/>
      <c r="J335" s="811"/>
      <c r="K335" s="811"/>
      <c r="L335" s="811"/>
      <c r="M335" s="811"/>
      <c r="N335" s="811"/>
      <c r="O335" s="811"/>
      <c r="P335" s="811"/>
      <c r="Q335" s="811"/>
      <c r="R335" s="811"/>
    </row>
    <row r="336" spans="1:18" s="462" customFormat="1" ht="16.350000000000001" customHeight="1">
      <c r="C336" s="559"/>
      <c r="D336" s="559"/>
      <c r="E336" s="837"/>
      <c r="G336" s="811"/>
      <c r="H336" s="811"/>
      <c r="I336" s="812"/>
      <c r="J336" s="811"/>
      <c r="K336" s="811"/>
      <c r="L336" s="811"/>
      <c r="M336" s="811"/>
      <c r="N336" s="811"/>
      <c r="O336" s="811"/>
      <c r="P336" s="811"/>
      <c r="Q336" s="811"/>
      <c r="R336" s="811"/>
    </row>
    <row r="337" spans="1:18" s="462" customFormat="1" ht="16.350000000000001" customHeight="1">
      <c r="C337" s="559"/>
      <c r="D337" s="559"/>
      <c r="E337" s="837"/>
      <c r="G337" s="811"/>
      <c r="H337" s="811"/>
      <c r="I337" s="812"/>
      <c r="J337" s="811"/>
      <c r="K337" s="811"/>
      <c r="L337" s="811"/>
      <c r="M337" s="811"/>
      <c r="N337" s="811"/>
      <c r="O337" s="811"/>
      <c r="P337" s="811"/>
      <c r="Q337" s="811"/>
      <c r="R337" s="811"/>
    </row>
    <row r="338" spans="1:18" s="462" customFormat="1" ht="41.4" customHeight="1">
      <c r="C338" s="559"/>
      <c r="D338" s="559"/>
      <c r="E338" s="837"/>
      <c r="G338" s="811"/>
      <c r="H338" s="811"/>
      <c r="I338" s="812"/>
      <c r="J338" s="811"/>
      <c r="K338" s="811"/>
      <c r="L338" s="811"/>
      <c r="M338" s="811"/>
      <c r="N338" s="811"/>
      <c r="O338" s="811"/>
      <c r="P338" s="811"/>
      <c r="Q338" s="811"/>
      <c r="R338" s="811"/>
    </row>
    <row r="339" spans="1:18" s="462" customFormat="1" ht="41.4" customHeight="1">
      <c r="C339" s="559"/>
      <c r="D339" s="559"/>
      <c r="E339" s="837"/>
      <c r="G339" s="811"/>
      <c r="H339" s="811"/>
      <c r="I339" s="812"/>
      <c r="J339" s="811"/>
      <c r="K339" s="811"/>
      <c r="L339" s="811"/>
      <c r="M339" s="811"/>
      <c r="N339" s="811"/>
      <c r="O339" s="811"/>
      <c r="P339" s="811"/>
      <c r="Q339" s="811"/>
      <c r="R339" s="811"/>
    </row>
    <row r="340" spans="1:18" s="462" customFormat="1" ht="41.4" customHeight="1">
      <c r="C340" s="559"/>
      <c r="D340" s="559"/>
      <c r="E340" s="837"/>
      <c r="G340" s="811"/>
      <c r="H340" s="811"/>
      <c r="I340" s="812"/>
      <c r="J340" s="811"/>
      <c r="K340" s="811"/>
      <c r="L340" s="811"/>
      <c r="M340" s="811"/>
      <c r="N340" s="811"/>
      <c r="O340" s="811"/>
      <c r="P340" s="811"/>
      <c r="Q340" s="811"/>
      <c r="R340" s="811"/>
    </row>
    <row r="341" spans="1:18" s="462" customFormat="1" ht="37.5" customHeight="1">
      <c r="C341" s="559"/>
      <c r="D341" s="559"/>
      <c r="E341" s="837"/>
      <c r="G341" s="811"/>
      <c r="H341" s="811"/>
      <c r="I341" s="812"/>
      <c r="J341" s="811"/>
      <c r="K341" s="811"/>
      <c r="L341" s="811"/>
      <c r="M341" s="811"/>
      <c r="N341" s="811"/>
      <c r="O341" s="811"/>
      <c r="P341" s="811"/>
      <c r="Q341" s="811"/>
      <c r="R341" s="811"/>
    </row>
    <row r="342" spans="1:18" s="462" customFormat="1" ht="26.25" customHeight="1">
      <c r="C342" s="559"/>
      <c r="D342" s="559"/>
      <c r="E342" s="837"/>
      <c r="G342" s="811"/>
      <c r="H342" s="811"/>
      <c r="I342" s="812"/>
      <c r="J342" s="811"/>
      <c r="K342" s="811"/>
      <c r="L342" s="811"/>
      <c r="M342" s="811"/>
      <c r="N342" s="811"/>
      <c r="O342" s="811"/>
      <c r="P342" s="811"/>
      <c r="Q342" s="811"/>
      <c r="R342" s="811"/>
    </row>
    <row r="343" spans="1:18" s="462" customFormat="1" ht="16.350000000000001" customHeight="1">
      <c r="A343" s="1146" t="s">
        <v>1125</v>
      </c>
      <c r="B343" s="1147"/>
      <c r="C343" s="1148" t="s">
        <v>561</v>
      </c>
      <c r="D343" s="1148"/>
      <c r="E343" s="881" t="s">
        <v>1126</v>
      </c>
      <c r="G343" s="811"/>
      <c r="H343" s="811"/>
      <c r="I343" s="812"/>
      <c r="J343" s="811"/>
      <c r="K343" s="811"/>
      <c r="L343" s="811"/>
      <c r="M343" s="811"/>
      <c r="N343" s="811"/>
      <c r="O343" s="811"/>
      <c r="P343" s="811"/>
      <c r="Q343" s="811"/>
      <c r="R343" s="811"/>
    </row>
    <row r="344" spans="1:18" ht="9.75" customHeight="1">
      <c r="A344" s="215"/>
      <c r="B344" s="215"/>
      <c r="C344" s="215"/>
      <c r="D344" s="215"/>
      <c r="E344" s="744"/>
      <c r="F344" s="327"/>
      <c r="H344" s="803"/>
      <c r="I344" s="803"/>
    </row>
    <row r="345" spans="1:18" s="567" customFormat="1" ht="12">
      <c r="A345" s="563"/>
      <c r="B345" s="564" t="s">
        <v>562</v>
      </c>
      <c r="C345" s="565" t="s">
        <v>298</v>
      </c>
      <c r="D345" s="565" t="s">
        <v>655</v>
      </c>
      <c r="E345" s="743"/>
      <c r="F345" s="566"/>
      <c r="G345" s="804"/>
      <c r="H345" s="805" t="s">
        <v>297</v>
      </c>
      <c r="I345" s="805"/>
      <c r="J345" s="804" t="s">
        <v>786</v>
      </c>
      <c r="K345" s="804"/>
      <c r="L345" s="804"/>
      <c r="M345" s="804"/>
      <c r="N345" s="804"/>
      <c r="O345" s="804"/>
      <c r="P345" s="804"/>
      <c r="Q345" s="804"/>
      <c r="R345" s="804"/>
    </row>
    <row r="346" spans="1:18" ht="27.6" customHeight="1">
      <c r="A346" s="215"/>
      <c r="B346" s="546" t="s">
        <v>557</v>
      </c>
      <c r="C346" s="873" t="str">
        <f>Lm!B35</f>
        <v>How was the input derived?</v>
      </c>
      <c r="D346" s="329"/>
      <c r="E346" s="743" t="str">
        <f>IFERROR(IF(OR($I346=10,NOT(ISNUMBER($I346))),"",IF(I346=$I$350,"Limiting","")),"")</f>
        <v/>
      </c>
      <c r="F346" s="327"/>
      <c r="G346" s="813">
        <f t="shared" ref="G346:G348" si="18">IF(LEN(D346)&gt;0,1,0)</f>
        <v>0</v>
      </c>
      <c r="H346" s="807" t="e">
        <f>VLOOKUP('Interactive Data Grading'!D346,Lm!$C$6:$G$15,5,FALSE)</f>
        <v>#N/A</v>
      </c>
      <c r="I346" s="807" t="e">
        <f>H346</f>
        <v>#N/A</v>
      </c>
    </row>
    <row r="347" spans="1:18" ht="27.6" customHeight="1">
      <c r="A347" s="215"/>
      <c r="B347" s="546" t="s">
        <v>558</v>
      </c>
      <c r="C347" s="873" t="str">
        <f>Lm!B36</f>
        <v>Are hydrant laterals included in the input derivation?</v>
      </c>
      <c r="D347" s="329"/>
      <c r="E347" s="743" t="str">
        <f>IFERROR(IF(OR($I347=10,NOT(ISNUMBER($I347))),"",IF(I347=$I$350,"Limiting","")),"")</f>
        <v/>
      </c>
      <c r="F347" s="327"/>
      <c r="G347" s="813">
        <f>IF(OR(LEN(D347)&gt;0,D346=Lm!$C$6),1,0)</f>
        <v>0</v>
      </c>
      <c r="H347" s="807" t="e">
        <f>VLOOKUP('Interactive Data Grading'!D347,Lm!$D$6:$G$15,4,FALSE)</f>
        <v>#N/A</v>
      </c>
      <c r="I347" s="807" t="e">
        <f>H347</f>
        <v>#N/A</v>
      </c>
      <c r="J347" s="799" t="s">
        <v>557</v>
      </c>
    </row>
    <row r="348" spans="1:18" ht="27.6" customHeight="1">
      <c r="A348" s="215"/>
      <c r="B348" s="546" t="s">
        <v>559</v>
      </c>
      <c r="C348" s="873" t="str">
        <f>Lm!B37</f>
        <v>Which best describes how the Mains inventory (GIS, ledger, etc) is kept up to date?</v>
      </c>
      <c r="D348" s="329"/>
      <c r="E348" s="743" t="str">
        <f>IFERROR(IF(OR($I348=10,NOT(ISNUMBER($I348))),"",IF(I348=$I$350,"Limiting","")),"")</f>
        <v/>
      </c>
      <c r="F348" s="327"/>
      <c r="G348" s="813">
        <f t="shared" si="18"/>
        <v>0</v>
      </c>
      <c r="H348" s="807" t="e">
        <f>VLOOKUP('Interactive Data Grading'!D348,Lm!$E$6:$G$15,3,FALSE)</f>
        <v>#N/A</v>
      </c>
      <c r="I348" s="807" t="e">
        <f>H348</f>
        <v>#N/A</v>
      </c>
    </row>
    <row r="349" spans="1:18" ht="27.6" customHeight="1">
      <c r="A349" s="215"/>
      <c r="B349" s="546" t="s">
        <v>560</v>
      </c>
      <c r="C349" s="873" t="str">
        <f>Lm!B38</f>
        <v>Which best describes how the Mains inventory (GIS, ledger, etc) is field validated to confirm field conditions match the inventory?</v>
      </c>
      <c r="D349" s="329"/>
      <c r="E349" s="743" t="str">
        <f>IFERROR(IF(OR($I349=10,NOT(ISNUMBER($I349))),"",IF(I349=$I$350,"Limiting","")),"")</f>
        <v/>
      </c>
      <c r="F349" s="327"/>
      <c r="G349" s="813">
        <f>IF(OR(LEN(D349)&gt;0,$D$348=Lm!$E$8),1,0)</f>
        <v>0</v>
      </c>
      <c r="H349" s="807" t="e">
        <f>VLOOKUP('Interactive Data Grading'!D349,Lm!$F$6:$G$15,2,FALSE)</f>
        <v>#N/A</v>
      </c>
      <c r="I349" s="807" t="e">
        <f>H349</f>
        <v>#N/A</v>
      </c>
      <c r="J349" s="799" t="s">
        <v>559</v>
      </c>
    </row>
    <row r="350" spans="1:18" ht="27.6" customHeight="1">
      <c r="A350" s="215"/>
      <c r="B350" s="215"/>
      <c r="C350" s="328" t="s">
        <v>308</v>
      </c>
      <c r="D350" s="746" t="str">
        <f>IF(G350&lt;1,"",I350)</f>
        <v/>
      </c>
      <c r="E350" s="743"/>
      <c r="F350" s="327"/>
      <c r="G350" s="813">
        <f>MIN(G346:G349)</f>
        <v>0</v>
      </c>
      <c r="H350" s="810" t="e">
        <f>MIN(H346:H349)</f>
        <v>#N/A</v>
      </c>
      <c r="I350" s="810">
        <f t="array" ref="I350">MIN(IF(ISNUMBER(I346:I349),I346:I349))</f>
        <v>0</v>
      </c>
    </row>
    <row r="351" spans="1:18" s="462" customFormat="1" ht="16.350000000000001" customHeight="1">
      <c r="C351" s="559"/>
      <c r="D351" s="559"/>
      <c r="E351" s="837"/>
      <c r="G351" s="811"/>
      <c r="H351" s="811"/>
      <c r="I351" s="812"/>
      <c r="J351" s="811"/>
      <c r="K351" s="811"/>
      <c r="L351" s="811"/>
      <c r="M351" s="811"/>
      <c r="N351" s="811"/>
      <c r="O351" s="811"/>
      <c r="P351" s="811"/>
      <c r="Q351" s="811"/>
      <c r="R351" s="811"/>
    </row>
    <row r="352" spans="1:18" s="462" customFormat="1" ht="16.350000000000001" customHeight="1">
      <c r="C352" s="559"/>
      <c r="D352" s="559"/>
      <c r="E352" s="837"/>
      <c r="G352" s="811"/>
      <c r="H352" s="811"/>
      <c r="I352" s="812"/>
      <c r="J352" s="811"/>
      <c r="K352" s="811"/>
      <c r="L352" s="811"/>
      <c r="M352" s="811"/>
      <c r="N352" s="811"/>
      <c r="O352" s="811"/>
      <c r="P352" s="811"/>
      <c r="Q352" s="811"/>
      <c r="R352" s="811"/>
    </row>
    <row r="353" spans="1:18" s="462" customFormat="1" ht="16.350000000000001" customHeight="1">
      <c r="C353" s="559"/>
      <c r="D353" s="559"/>
      <c r="E353" s="837"/>
      <c r="G353" s="811"/>
      <c r="H353" s="811"/>
      <c r="I353" s="812"/>
      <c r="J353" s="811"/>
      <c r="K353" s="811"/>
      <c r="L353" s="811"/>
      <c r="M353" s="811"/>
      <c r="N353" s="811"/>
      <c r="O353" s="811"/>
      <c r="P353" s="811"/>
      <c r="Q353" s="811"/>
      <c r="R353" s="811"/>
    </row>
    <row r="354" spans="1:18" s="462" customFormat="1" ht="16.350000000000001" customHeight="1">
      <c r="C354" s="559"/>
      <c r="D354" s="559"/>
      <c r="E354" s="837"/>
      <c r="G354" s="811"/>
      <c r="H354" s="811"/>
      <c r="I354" s="812"/>
      <c r="J354" s="811"/>
      <c r="K354" s="811"/>
      <c r="L354" s="811"/>
      <c r="M354" s="811"/>
      <c r="N354" s="811"/>
      <c r="O354" s="811"/>
      <c r="P354" s="811"/>
      <c r="Q354" s="811"/>
      <c r="R354" s="811"/>
    </row>
    <row r="355" spans="1:18" s="462" customFormat="1" ht="16.350000000000001" customHeight="1">
      <c r="C355" s="559"/>
      <c r="D355" s="559"/>
      <c r="E355" s="837"/>
      <c r="G355" s="811"/>
      <c r="H355" s="811"/>
      <c r="I355" s="812"/>
      <c r="J355" s="811"/>
      <c r="K355" s="811"/>
      <c r="L355" s="811"/>
      <c r="M355" s="811"/>
      <c r="N355" s="811"/>
      <c r="O355" s="811"/>
      <c r="P355" s="811"/>
      <c r="Q355" s="811"/>
      <c r="R355" s="811"/>
    </row>
    <row r="356" spans="1:18" s="462" customFormat="1" ht="16.350000000000001" customHeight="1">
      <c r="C356" s="559"/>
      <c r="D356" s="559"/>
      <c r="E356" s="837"/>
      <c r="G356" s="811"/>
      <c r="H356" s="811"/>
      <c r="I356" s="812"/>
      <c r="J356" s="811"/>
      <c r="K356" s="811"/>
      <c r="L356" s="811"/>
      <c r="M356" s="811"/>
      <c r="N356" s="811"/>
      <c r="O356" s="811"/>
      <c r="P356" s="811"/>
      <c r="Q356" s="811"/>
      <c r="R356" s="811"/>
    </row>
    <row r="357" spans="1:18" s="462" customFormat="1" ht="16.350000000000001" customHeight="1">
      <c r="C357" s="559"/>
      <c r="D357" s="559"/>
      <c r="E357" s="837"/>
      <c r="G357" s="811"/>
      <c r="H357" s="811"/>
      <c r="I357" s="812"/>
      <c r="J357" s="811"/>
      <c r="K357" s="811"/>
      <c r="L357" s="811"/>
      <c r="M357" s="811"/>
      <c r="N357" s="811"/>
      <c r="O357" s="811"/>
      <c r="P357" s="811"/>
      <c r="Q357" s="811"/>
      <c r="R357" s="811"/>
    </row>
    <row r="358" spans="1:18" s="462" customFormat="1" ht="16.350000000000001" customHeight="1">
      <c r="C358" s="559"/>
      <c r="D358" s="559"/>
      <c r="E358" s="837"/>
      <c r="G358" s="811"/>
      <c r="H358" s="811"/>
      <c r="I358" s="812"/>
      <c r="J358" s="811"/>
      <c r="K358" s="811"/>
      <c r="L358" s="811"/>
      <c r="M358" s="811"/>
      <c r="N358" s="811"/>
      <c r="O358" s="811"/>
      <c r="P358" s="811"/>
      <c r="Q358" s="811"/>
      <c r="R358" s="811"/>
    </row>
    <row r="359" spans="1:18" s="462" customFormat="1" ht="16.350000000000001" customHeight="1">
      <c r="C359" s="559"/>
      <c r="D359" s="559"/>
      <c r="E359" s="837"/>
      <c r="G359" s="811"/>
      <c r="H359" s="811"/>
      <c r="I359" s="812"/>
      <c r="J359" s="811"/>
      <c r="K359" s="811"/>
      <c r="L359" s="811"/>
      <c r="M359" s="811"/>
      <c r="N359" s="811"/>
      <c r="O359" s="811"/>
      <c r="P359" s="811"/>
      <c r="Q359" s="811"/>
      <c r="R359" s="811"/>
    </row>
    <row r="360" spans="1:18" s="462" customFormat="1" ht="50.4" customHeight="1">
      <c r="C360" s="559"/>
      <c r="D360" s="559"/>
      <c r="E360" s="837"/>
      <c r="G360" s="811"/>
      <c r="H360" s="811"/>
      <c r="I360" s="812"/>
      <c r="J360" s="811"/>
      <c r="K360" s="811"/>
      <c r="L360" s="811"/>
      <c r="M360" s="811"/>
      <c r="N360" s="811"/>
      <c r="O360" s="811"/>
      <c r="P360" s="811"/>
      <c r="Q360" s="811"/>
      <c r="R360" s="811"/>
    </row>
    <row r="361" spans="1:18" s="462" customFormat="1" ht="50.4" customHeight="1">
      <c r="C361" s="559"/>
      <c r="D361" s="559"/>
      <c r="E361" s="837"/>
      <c r="G361" s="811"/>
      <c r="H361" s="811"/>
      <c r="I361" s="812"/>
      <c r="J361" s="811"/>
      <c r="K361" s="811"/>
      <c r="L361" s="811"/>
      <c r="M361" s="811"/>
      <c r="N361" s="811"/>
      <c r="O361" s="811"/>
      <c r="P361" s="811"/>
      <c r="Q361" s="811"/>
      <c r="R361" s="811"/>
    </row>
    <row r="362" spans="1:18" s="462" customFormat="1" ht="50.4" customHeight="1">
      <c r="C362" s="559"/>
      <c r="D362" s="559"/>
      <c r="E362" s="837"/>
      <c r="G362" s="811"/>
      <c r="H362" s="811"/>
      <c r="I362" s="812"/>
      <c r="J362" s="811"/>
      <c r="K362" s="811"/>
      <c r="L362" s="811"/>
      <c r="M362" s="811"/>
      <c r="N362" s="811"/>
      <c r="O362" s="811"/>
      <c r="P362" s="811"/>
      <c r="Q362" s="811"/>
      <c r="R362" s="811"/>
    </row>
    <row r="363" spans="1:18" s="462" customFormat="1" ht="34.5" customHeight="1">
      <c r="C363" s="559"/>
      <c r="D363" s="559"/>
      <c r="E363" s="837"/>
      <c r="G363" s="811"/>
      <c r="H363" s="811"/>
      <c r="I363" s="812"/>
      <c r="J363" s="811"/>
      <c r="K363" s="811"/>
      <c r="L363" s="811"/>
      <c r="M363" s="811"/>
      <c r="N363" s="811"/>
      <c r="O363" s="811"/>
      <c r="P363" s="811"/>
      <c r="Q363" s="811"/>
      <c r="R363" s="811"/>
    </row>
    <row r="364" spans="1:18" s="462" customFormat="1" ht="29.25" customHeight="1">
      <c r="C364" s="559"/>
      <c r="D364" s="559"/>
      <c r="E364" s="837"/>
      <c r="G364" s="811"/>
      <c r="H364" s="811"/>
      <c r="I364" s="812"/>
      <c r="J364" s="811"/>
      <c r="K364" s="811"/>
      <c r="L364" s="811"/>
      <c r="M364" s="811"/>
      <c r="N364" s="811"/>
      <c r="O364" s="811"/>
      <c r="P364" s="811"/>
      <c r="Q364" s="811"/>
      <c r="R364" s="811"/>
    </row>
    <row r="365" spans="1:18" s="462" customFormat="1" ht="29.25" customHeight="1">
      <c r="C365" s="559"/>
      <c r="D365" s="559"/>
      <c r="E365" s="837"/>
      <c r="G365" s="811"/>
      <c r="H365" s="811"/>
      <c r="I365" s="812"/>
      <c r="J365" s="811"/>
      <c r="K365" s="811"/>
      <c r="L365" s="811"/>
      <c r="M365" s="811"/>
      <c r="N365" s="811"/>
      <c r="O365" s="811"/>
      <c r="P365" s="811"/>
      <c r="Q365" s="811"/>
      <c r="R365" s="811"/>
    </row>
    <row r="366" spans="1:18" s="462" customFormat="1" ht="16.350000000000001" customHeight="1">
      <c r="A366" s="1146" t="s">
        <v>1125</v>
      </c>
      <c r="B366" s="1147"/>
      <c r="C366" s="1148" t="s">
        <v>574</v>
      </c>
      <c r="D366" s="1148"/>
      <c r="E366" s="881" t="s">
        <v>1126</v>
      </c>
      <c r="G366" s="811"/>
      <c r="H366" s="811"/>
      <c r="I366" s="812"/>
      <c r="J366" s="811"/>
      <c r="K366" s="811"/>
      <c r="L366" s="811"/>
      <c r="M366" s="811"/>
      <c r="N366" s="811"/>
      <c r="O366" s="811"/>
      <c r="P366" s="811"/>
      <c r="Q366" s="811"/>
      <c r="R366" s="811"/>
    </row>
    <row r="367" spans="1:18" ht="9.75" customHeight="1">
      <c r="A367" s="215"/>
      <c r="B367" s="215"/>
      <c r="C367" s="215"/>
      <c r="D367" s="215"/>
      <c r="E367" s="744"/>
      <c r="F367" s="327"/>
      <c r="H367" s="803"/>
      <c r="I367" s="803"/>
    </row>
    <row r="368" spans="1:18" s="567" customFormat="1" ht="12">
      <c r="A368" s="563"/>
      <c r="B368" s="564" t="s">
        <v>575</v>
      </c>
      <c r="C368" s="565" t="s">
        <v>298</v>
      </c>
      <c r="D368" s="565" t="s">
        <v>655</v>
      </c>
      <c r="E368" s="743"/>
      <c r="F368" s="566"/>
      <c r="G368" s="804"/>
      <c r="H368" s="805" t="s">
        <v>297</v>
      </c>
      <c r="I368" s="805"/>
      <c r="J368" s="804" t="s">
        <v>786</v>
      </c>
      <c r="K368" s="804" t="s">
        <v>1249</v>
      </c>
      <c r="L368" s="804"/>
      <c r="M368" s="804"/>
      <c r="N368" s="804"/>
      <c r="O368" s="804"/>
      <c r="P368" s="804"/>
      <c r="Q368" s="804"/>
      <c r="R368" s="804"/>
    </row>
    <row r="369" spans="1:18" ht="27.6" customHeight="1">
      <c r="A369" s="215"/>
      <c r="B369" s="546" t="s">
        <v>564</v>
      </c>
      <c r="C369" s="873" t="str">
        <f>Nc!B35</f>
        <v>How was the input derived?</v>
      </c>
      <c r="D369" s="329"/>
      <c r="E369" s="743" t="str">
        <f>IFERROR(IF(OR($D$374=10,NOT(ISNUMBER($D$374))),"",IF(I369=$I$374,"Limiting","")),"")</f>
        <v/>
      </c>
      <c r="F369" s="327"/>
      <c r="H369" s="807" t="e">
        <f>VLOOKUP('Interactive Data Grading'!D369,Nc!$C$6:$H$15,6,FALSE)</f>
        <v>#N/A</v>
      </c>
      <c r="I369" s="807" t="e">
        <f>H369</f>
        <v>#N/A</v>
      </c>
      <c r="K369" s="799" t="str">
        <f>IFERROR(IF(OR($D$374=10,NOT(ISNUMBER($D$374))),"",IF(I369=$I$374,"Limiting","")),"")</f>
        <v/>
      </c>
    </row>
    <row r="370" spans="1:18" ht="27.6" customHeight="1">
      <c r="A370" s="215"/>
      <c r="B370" s="546" t="s">
        <v>565</v>
      </c>
      <c r="C370" s="873" t="str">
        <f>Nc!B36</f>
        <v>What is the count of services based on?</v>
      </c>
      <c r="D370" s="329"/>
      <c r="E370" s="743" t="str">
        <f t="shared" ref="E370:E373" si="19">IFERROR(IF(OR($D$374=10,NOT(ISNUMBER($D$374))),"",IF(I370=$I$374,"Limiting","")),"")</f>
        <v/>
      </c>
      <c r="F370" s="327"/>
      <c r="G370" s="813">
        <f>IF(OR(LEN(D370)&gt;0,$D$369=Nc!$C$23),1,0)</f>
        <v>0</v>
      </c>
      <c r="H370" s="807" t="e">
        <f>VLOOKUP('Interactive Data Grading'!D370,Nc!$D$6:$H$15,5,FALSE)</f>
        <v>#N/A</v>
      </c>
      <c r="I370" s="807" t="e">
        <f>H370</f>
        <v>#N/A</v>
      </c>
      <c r="J370" s="799" t="s">
        <v>564</v>
      </c>
      <c r="K370" s="799" t="str">
        <f t="shared" ref="K370:K373" si="20">IFERROR(IF(OR($D$374=10,NOT(ISNUMBER($D$374))),"",IF(I370=$I$374,"Limiting","")),"")</f>
        <v/>
      </c>
    </row>
    <row r="371" spans="1:18" ht="27.6" customHeight="1">
      <c r="A371" s="215"/>
      <c r="B371" s="546" t="s">
        <v>566</v>
      </c>
      <c r="C371" s="873" t="str">
        <f>Nc!B37</f>
        <v xml:space="preserve">Are inactive (but still pressurized) service lines included in the input? These may be metered or unmetered.  </v>
      </c>
      <c r="D371" s="329"/>
      <c r="E371" s="743" t="str">
        <f t="shared" si="19"/>
        <v/>
      </c>
      <c r="F371" s="327"/>
      <c r="G371" s="813">
        <f>IF(OR(LEN(D371)&gt;0,D369=Nc!$C$23),1,0)</f>
        <v>0</v>
      </c>
      <c r="H371" s="807" t="e">
        <f>VLOOKUP('Interactive Data Grading'!D371,Nc!$E$6:$H$15,4,FALSE)</f>
        <v>#N/A</v>
      </c>
      <c r="I371" s="807" t="e">
        <f t="shared" ref="I371:I373" si="21">H371</f>
        <v>#N/A</v>
      </c>
      <c r="J371" s="799" t="s">
        <v>564</v>
      </c>
      <c r="K371" s="799" t="str">
        <f t="shared" si="20"/>
        <v/>
      </c>
    </row>
    <row r="372" spans="1:18" ht="27.6" customHeight="1">
      <c r="A372" s="215"/>
      <c r="B372" s="546" t="s">
        <v>567</v>
      </c>
      <c r="C372" s="873" t="str">
        <f>Nc!B38</f>
        <v>Which best describes how the inventory of service connections (GIS, billing system, etc) is kept up to date?</v>
      </c>
      <c r="D372" s="329"/>
      <c r="E372" s="743" t="str">
        <f t="shared" si="19"/>
        <v/>
      </c>
      <c r="F372" s="327"/>
      <c r="G372" s="813">
        <f t="shared" ref="G372" si="22">IF(LEN(D372)&gt;0,1,0)</f>
        <v>0</v>
      </c>
      <c r="H372" s="807" t="e">
        <f>VLOOKUP('Interactive Data Grading'!D372,Nc!$F$6:$H$15,3,FALSE)</f>
        <v>#N/A</v>
      </c>
      <c r="I372" s="807" t="e">
        <f t="shared" si="21"/>
        <v>#N/A</v>
      </c>
      <c r="K372" s="799" t="str">
        <f t="shared" si="20"/>
        <v/>
      </c>
    </row>
    <row r="373" spans="1:18" ht="45.6" customHeight="1">
      <c r="A373" s="215"/>
      <c r="B373" s="546" t="s">
        <v>568</v>
      </c>
      <c r="C373" s="873" t="str">
        <f>Nc!B39</f>
        <v>Which best describes how the inventory of service connections (GIS, billing system, etc) is field validated to confirm field conditions match the inventory?</v>
      </c>
      <c r="D373" s="329"/>
      <c r="E373" s="743" t="str">
        <f t="shared" si="19"/>
        <v/>
      </c>
      <c r="F373" s="327"/>
      <c r="G373" s="815">
        <f>IF(OR(LEN(D373)&gt;0,D372=Nc!F23),1,0)</f>
        <v>0</v>
      </c>
      <c r="H373" s="807" t="e">
        <f>VLOOKUP('Interactive Data Grading'!D373,Nc!$G$6:$H$15,2,FALSE)</f>
        <v>#N/A</v>
      </c>
      <c r="I373" s="807" t="e">
        <f t="shared" si="21"/>
        <v>#N/A</v>
      </c>
      <c r="J373" s="799" t="s">
        <v>567</v>
      </c>
      <c r="K373" s="799" t="str">
        <f t="shared" si="20"/>
        <v/>
      </c>
    </row>
    <row r="374" spans="1:18" ht="27.6" customHeight="1">
      <c r="A374" s="215"/>
      <c r="B374" s="215"/>
      <c r="C374" s="328" t="s">
        <v>308</v>
      </c>
      <c r="D374" s="746" t="str">
        <f>IF(G374&lt;1,"",I374)</f>
        <v/>
      </c>
      <c r="E374" s="743"/>
      <c r="F374" s="327"/>
      <c r="G374" s="815">
        <f>MIN(G370:G373)</f>
        <v>0</v>
      </c>
      <c r="H374" s="810" t="e">
        <f>MIN(H369:H373)</f>
        <v>#N/A</v>
      </c>
      <c r="I374" s="810">
        <f t="array" ref="I374">MIN(IF(ISNUMBER(I369:I373),I369:I373))</f>
        <v>0</v>
      </c>
    </row>
    <row r="375" spans="1:18" s="462" customFormat="1" ht="16.350000000000001" customHeight="1">
      <c r="C375" s="559"/>
      <c r="D375" s="559"/>
      <c r="E375" s="837"/>
      <c r="G375" s="811"/>
      <c r="H375" s="811"/>
      <c r="I375" s="812"/>
      <c r="J375" s="811"/>
      <c r="K375" s="811"/>
      <c r="L375" s="811"/>
      <c r="M375" s="811"/>
      <c r="N375" s="811"/>
      <c r="O375" s="811"/>
      <c r="P375" s="811"/>
      <c r="Q375" s="811"/>
      <c r="R375" s="811"/>
    </row>
    <row r="376" spans="1:18" s="462" customFormat="1" ht="16.350000000000001" customHeight="1">
      <c r="C376" s="559"/>
      <c r="D376" s="559"/>
      <c r="E376" s="837"/>
      <c r="G376" s="811"/>
      <c r="H376" s="811"/>
      <c r="I376" s="812"/>
      <c r="J376" s="811"/>
      <c r="K376" s="811"/>
      <c r="L376" s="811"/>
      <c r="M376" s="811"/>
      <c r="N376" s="811"/>
      <c r="O376" s="811"/>
      <c r="P376" s="811"/>
      <c r="Q376" s="811"/>
      <c r="R376" s="811"/>
    </row>
    <row r="377" spans="1:18" s="462" customFormat="1" ht="2.4" customHeight="1">
      <c r="C377" s="559"/>
      <c r="D377" s="559"/>
      <c r="E377" s="837"/>
      <c r="G377" s="811"/>
      <c r="H377" s="811"/>
      <c r="I377" s="812"/>
      <c r="J377" s="811"/>
      <c r="K377" s="811"/>
      <c r="L377" s="811"/>
      <c r="M377" s="811"/>
      <c r="N377" s="811"/>
      <c r="O377" s="811"/>
      <c r="P377" s="811"/>
      <c r="Q377" s="811"/>
      <c r="R377" s="811"/>
    </row>
    <row r="378" spans="1:18" s="462" customFormat="1" ht="16.350000000000001" customHeight="1">
      <c r="C378" s="559"/>
      <c r="D378" s="559"/>
      <c r="E378" s="837"/>
      <c r="G378" s="811"/>
      <c r="H378" s="811"/>
      <c r="I378" s="812"/>
      <c r="J378" s="811"/>
      <c r="K378" s="811"/>
      <c r="L378" s="811"/>
      <c r="M378" s="811"/>
      <c r="N378" s="811"/>
      <c r="O378" s="811"/>
      <c r="P378" s="811"/>
      <c r="Q378" s="811"/>
      <c r="R378" s="811"/>
    </row>
    <row r="379" spans="1:18" s="462" customFormat="1" ht="16.350000000000001" customHeight="1">
      <c r="C379" s="559"/>
      <c r="D379" s="559"/>
      <c r="E379" s="837"/>
      <c r="G379" s="811"/>
      <c r="H379" s="811"/>
      <c r="I379" s="812"/>
      <c r="J379" s="811"/>
      <c r="K379" s="811"/>
      <c r="L379" s="811"/>
      <c r="M379" s="811"/>
      <c r="N379" s="811"/>
      <c r="O379" s="811"/>
      <c r="P379" s="811"/>
      <c r="Q379" s="811"/>
      <c r="R379" s="811"/>
    </row>
    <row r="380" spans="1:18" s="462" customFormat="1" ht="16.350000000000001" customHeight="1">
      <c r="C380" s="559"/>
      <c r="D380" s="559"/>
      <c r="E380" s="837"/>
      <c r="G380" s="811"/>
      <c r="H380" s="811"/>
      <c r="I380" s="812"/>
      <c r="J380" s="811"/>
      <c r="K380" s="811"/>
      <c r="L380" s="811"/>
      <c r="M380" s="811"/>
      <c r="N380" s="811"/>
      <c r="O380" s="811"/>
      <c r="P380" s="811"/>
      <c r="Q380" s="811"/>
      <c r="R380" s="811"/>
    </row>
    <row r="381" spans="1:18" s="462" customFormat="1" ht="16.350000000000001" customHeight="1">
      <c r="C381" s="559"/>
      <c r="D381" s="559"/>
      <c r="E381" s="837"/>
      <c r="G381" s="811"/>
      <c r="H381" s="811"/>
      <c r="I381" s="812"/>
      <c r="J381" s="811"/>
      <c r="K381" s="811"/>
      <c r="L381" s="811"/>
      <c r="M381" s="811"/>
      <c r="N381" s="811"/>
      <c r="O381" s="811"/>
      <c r="P381" s="811"/>
      <c r="Q381" s="811"/>
      <c r="R381" s="811"/>
    </row>
    <row r="382" spans="1:18" s="462" customFormat="1" ht="16.350000000000001" customHeight="1">
      <c r="C382" s="559"/>
      <c r="D382" s="559"/>
      <c r="E382" s="837"/>
      <c r="G382" s="811"/>
      <c r="H382" s="811"/>
      <c r="I382" s="812"/>
      <c r="J382" s="811"/>
      <c r="K382" s="811"/>
      <c r="L382" s="811"/>
      <c r="M382" s="811"/>
      <c r="N382" s="811"/>
      <c r="O382" s="811"/>
      <c r="P382" s="811"/>
      <c r="Q382" s="811"/>
      <c r="R382" s="811"/>
    </row>
    <row r="383" spans="1:18" s="462" customFormat="1" ht="16.350000000000001" customHeight="1">
      <c r="C383" s="559"/>
      <c r="D383" s="559"/>
      <c r="E383" s="837"/>
      <c r="G383" s="811"/>
      <c r="H383" s="811"/>
      <c r="I383" s="812"/>
      <c r="J383" s="811"/>
      <c r="K383" s="811"/>
      <c r="L383" s="811"/>
      <c r="M383" s="811"/>
      <c r="N383" s="811"/>
      <c r="O383" s="811"/>
      <c r="P383" s="811"/>
      <c r="Q383" s="811"/>
      <c r="R383" s="811"/>
    </row>
    <row r="384" spans="1:18" s="462" customFormat="1" ht="16.350000000000001" customHeight="1">
      <c r="C384" s="559"/>
      <c r="D384" s="559"/>
      <c r="E384" s="837"/>
      <c r="G384" s="811"/>
      <c r="H384" s="811"/>
      <c r="I384" s="812"/>
      <c r="J384" s="811"/>
      <c r="K384" s="811"/>
      <c r="L384" s="811"/>
      <c r="M384" s="811"/>
      <c r="N384" s="811"/>
      <c r="O384" s="811"/>
      <c r="P384" s="811"/>
      <c r="Q384" s="811"/>
      <c r="R384" s="811"/>
    </row>
    <row r="385" spans="1:18" s="462" customFormat="1" ht="16.350000000000001" customHeight="1">
      <c r="C385" s="559"/>
      <c r="D385" s="559"/>
      <c r="E385" s="837"/>
      <c r="G385" s="811"/>
      <c r="H385" s="811"/>
      <c r="I385" s="812"/>
      <c r="J385" s="811"/>
      <c r="K385" s="811"/>
      <c r="L385" s="811"/>
      <c r="M385" s="811"/>
      <c r="N385" s="811"/>
      <c r="O385" s="811"/>
      <c r="P385" s="811"/>
      <c r="Q385" s="811"/>
      <c r="R385" s="811"/>
    </row>
    <row r="386" spans="1:18" s="462" customFormat="1" ht="16.350000000000001" customHeight="1">
      <c r="C386" s="559"/>
      <c r="D386" s="559"/>
      <c r="E386" s="837"/>
      <c r="G386" s="811"/>
      <c r="H386" s="811"/>
      <c r="I386" s="812"/>
      <c r="J386" s="811"/>
      <c r="K386" s="811"/>
      <c r="L386" s="811"/>
      <c r="M386" s="811"/>
      <c r="N386" s="811"/>
      <c r="O386" s="811"/>
      <c r="P386" s="811"/>
      <c r="Q386" s="811"/>
      <c r="R386" s="811"/>
    </row>
    <row r="387" spans="1:18" s="462" customFormat="1" ht="16.350000000000001" customHeight="1">
      <c r="C387" s="559"/>
      <c r="D387" s="559"/>
      <c r="E387" s="837"/>
      <c r="G387" s="811"/>
      <c r="H387" s="811"/>
      <c r="I387" s="812"/>
      <c r="J387" s="811"/>
      <c r="K387" s="811"/>
      <c r="L387" s="811"/>
      <c r="M387" s="811"/>
      <c r="N387" s="811"/>
      <c r="O387" s="811"/>
      <c r="P387" s="811"/>
      <c r="Q387" s="811"/>
      <c r="R387" s="811"/>
    </row>
    <row r="388" spans="1:18" s="462" customFormat="1" ht="16.350000000000001" customHeight="1">
      <c r="C388" s="559"/>
      <c r="D388" s="559"/>
      <c r="E388" s="837"/>
      <c r="G388" s="811"/>
      <c r="H388" s="811"/>
      <c r="I388" s="812"/>
      <c r="J388" s="811"/>
      <c r="K388" s="811"/>
      <c r="L388" s="811"/>
      <c r="M388" s="811"/>
      <c r="N388" s="811"/>
      <c r="O388" s="811"/>
      <c r="P388" s="811"/>
      <c r="Q388" s="811"/>
      <c r="R388" s="811"/>
    </row>
    <row r="389" spans="1:18" s="462" customFormat="1" ht="21.75" customHeight="1">
      <c r="C389" s="559"/>
      <c r="D389" s="559"/>
      <c r="E389" s="837"/>
      <c r="G389" s="811"/>
      <c r="H389" s="811"/>
      <c r="I389" s="812"/>
      <c r="J389" s="811"/>
      <c r="K389" s="811"/>
      <c r="L389" s="811"/>
      <c r="M389" s="811"/>
      <c r="N389" s="811"/>
      <c r="O389" s="811"/>
      <c r="P389" s="811"/>
      <c r="Q389" s="811"/>
      <c r="R389" s="811"/>
    </row>
    <row r="390" spans="1:18" s="462" customFormat="1" ht="16.350000000000001" customHeight="1">
      <c r="A390" s="1146" t="s">
        <v>1125</v>
      </c>
      <c r="B390" s="1147"/>
      <c r="C390" s="1148" t="s">
        <v>588</v>
      </c>
      <c r="D390" s="1148"/>
      <c r="E390" s="881" t="s">
        <v>1126</v>
      </c>
      <c r="G390" s="811"/>
      <c r="H390" s="811"/>
      <c r="I390" s="812"/>
      <c r="J390" s="811"/>
      <c r="K390" s="811"/>
      <c r="L390" s="811"/>
      <c r="M390" s="811"/>
      <c r="N390" s="811"/>
      <c r="O390" s="811"/>
      <c r="P390" s="811"/>
      <c r="Q390" s="811"/>
      <c r="R390" s="811"/>
    </row>
    <row r="391" spans="1:18" ht="9.75" customHeight="1">
      <c r="A391" s="215"/>
      <c r="B391" s="215"/>
      <c r="C391" s="215"/>
      <c r="D391" s="215"/>
      <c r="E391" s="744"/>
      <c r="F391" s="327"/>
      <c r="H391" s="803"/>
      <c r="I391" s="803"/>
    </row>
    <row r="392" spans="1:18" s="567" customFormat="1" ht="12">
      <c r="A392" s="563"/>
      <c r="B392" s="564" t="s">
        <v>590</v>
      </c>
      <c r="C392" s="565" t="s">
        <v>298</v>
      </c>
      <c r="D392" s="565" t="s">
        <v>655</v>
      </c>
      <c r="E392" s="743"/>
      <c r="F392" s="566"/>
      <c r="G392" s="804"/>
      <c r="H392" s="805" t="s">
        <v>297</v>
      </c>
      <c r="I392" s="805"/>
      <c r="J392" s="804" t="s">
        <v>786</v>
      </c>
      <c r="K392" s="804"/>
      <c r="L392" s="804"/>
      <c r="M392" s="804"/>
      <c r="N392" s="804"/>
      <c r="O392" s="804"/>
      <c r="P392" s="804"/>
      <c r="Q392" s="804"/>
      <c r="R392" s="804"/>
    </row>
    <row r="393" spans="1:18" ht="27.6" customHeight="1">
      <c r="A393" s="215"/>
      <c r="B393" s="546" t="s">
        <v>589</v>
      </c>
      <c r="C393" s="876" t="str">
        <f>Lp!B34</f>
        <v xml:space="preserve">Are customer meters typically located at the curbstop or property line? </v>
      </c>
      <c r="D393" s="333" t="str">
        <f>IF(OR(Worksheet!H65="Yes",Worksheet!H65="No"),Worksheet!H65,"Select on Worksheet")</f>
        <v>Select on Worksheet</v>
      </c>
      <c r="E393" s="743"/>
      <c r="F393" s="327"/>
      <c r="I393" s="806"/>
      <c r="J393" s="799" t="s">
        <v>862</v>
      </c>
      <c r="K393" s="799" t="s">
        <v>1249</v>
      </c>
    </row>
    <row r="394" spans="1:18" ht="27.6" customHeight="1">
      <c r="A394" s="215"/>
      <c r="B394" s="546" t="s">
        <v>577</v>
      </c>
      <c r="C394" s="876" t="str">
        <f>Lp!B35</f>
        <v>How was the input derived?</v>
      </c>
      <c r="D394" s="331"/>
      <c r="E394" s="743" t="str">
        <f>IFERROR(IF(OR($D$398=10,NOT(ISNUMBER($D$398))),"",IF(I394=$I$398,"Limiting","")),"")</f>
        <v/>
      </c>
      <c r="F394" s="327"/>
      <c r="G394" s="799">
        <f>IF(LEN(D394)&gt;0,1,0)</f>
        <v>0</v>
      </c>
      <c r="H394" s="807" t="e">
        <f>VLOOKUP(D394,Lp!$C$6:$G$15,5,FALSE)</f>
        <v>#N/A</v>
      </c>
      <c r="I394" s="808" t="e">
        <f>H394</f>
        <v>#N/A</v>
      </c>
    </row>
    <row r="395" spans="1:18" ht="27.6" customHeight="1">
      <c r="A395" s="215"/>
      <c r="B395" s="546" t="s">
        <v>578</v>
      </c>
      <c r="C395" s="876" t="str">
        <f>Lp!B36</f>
        <v>Which best describes how the Customer Service Line and Meter Locations mapping is kept up to date?</v>
      </c>
      <c r="D395" s="331"/>
      <c r="E395" s="743" t="str">
        <f t="shared" ref="E395:E397" si="23">IFERROR(IF(OR($D$398=10,NOT(ISNUMBER($D$398))),"",IF(I395=$I$398,"Limiting","")),"")</f>
        <v/>
      </c>
      <c r="F395" s="327"/>
      <c r="G395" s="799">
        <f>IF(LEN(D395)&gt;0,1,0)</f>
        <v>0</v>
      </c>
      <c r="H395" s="807" t="e">
        <f>VLOOKUP('Interactive Data Grading'!D395,Lp!$D$6:$G$15,4,FALSE)</f>
        <v>#N/A</v>
      </c>
      <c r="I395" s="808" t="e">
        <f>IF(OR(D392=VOS!D190,D393=VOS!H192),X,H395)</f>
        <v>#N/A</v>
      </c>
      <c r="J395" s="816"/>
    </row>
    <row r="396" spans="1:18" ht="27.6" customHeight="1">
      <c r="A396" s="215"/>
      <c r="B396" s="546" t="s">
        <v>579</v>
      </c>
      <c r="C396" s="876" t="str">
        <f>Lp!B37</f>
        <v>Which best describes how the Customer Service Line mapping is validated to what is in the field?</v>
      </c>
      <c r="D396" s="331"/>
      <c r="E396" s="743" t="str">
        <f t="shared" si="23"/>
        <v/>
      </c>
      <c r="F396" s="327"/>
      <c r="G396" s="817">
        <f>IF(OR(LEN(D396)&gt;0,D395=Lp!D23),1,0)</f>
        <v>0</v>
      </c>
      <c r="H396" s="807" t="e">
        <f>VLOOKUP('Interactive Data Grading'!D396,Lp!$E$6:$G$15,3,FALSE)</f>
        <v>#N/A</v>
      </c>
      <c r="I396" s="807" t="e">
        <f>H396</f>
        <v>#N/A</v>
      </c>
      <c r="J396" s="818" t="s">
        <v>578</v>
      </c>
    </row>
    <row r="397" spans="1:18" ht="33" customHeight="1">
      <c r="A397" s="215"/>
      <c r="B397" s="546" t="s">
        <v>580</v>
      </c>
      <c r="C397" s="876" t="str">
        <f>Lp!B38</f>
        <v>Which best describes the policy to define where the utility's ownership of the service line ends, and the customer's ownership of the service line begins?</v>
      </c>
      <c r="D397" s="331"/>
      <c r="E397" s="743" t="str">
        <f t="shared" si="23"/>
        <v/>
      </c>
      <c r="F397" s="327"/>
      <c r="G397" s="799">
        <f>IF(LEN(D397)&gt;0,1,0)</f>
        <v>0</v>
      </c>
      <c r="H397" s="807" t="e">
        <f>VLOOKUP('Interactive Data Grading'!D397,Lp!$F$6:$G$15,2,FALSE)</f>
        <v>#N/A</v>
      </c>
      <c r="I397" s="807" t="e">
        <f>H397</f>
        <v>#N/A</v>
      </c>
      <c r="J397" s="816"/>
    </row>
    <row r="398" spans="1:18" ht="27.6" customHeight="1">
      <c r="A398" s="215"/>
      <c r="B398" s="215"/>
      <c r="C398" s="328" t="s">
        <v>308</v>
      </c>
      <c r="D398" s="746" t="str">
        <f>IFERROR((IF(D393="Yes","10",IF(G398=0,"",I398))),"")</f>
        <v/>
      </c>
      <c r="E398" s="743"/>
      <c r="F398" s="327"/>
      <c r="G398" s="800">
        <f>MIN(G394:G397)</f>
        <v>0</v>
      </c>
      <c r="H398" s="810" t="e">
        <f>MIN(H394:H397)</f>
        <v>#N/A</v>
      </c>
      <c r="I398" s="810">
        <f t="array" ref="I398">MIN(IF(ISNUMBER(I394:I397),I394:I397))</f>
        <v>0</v>
      </c>
    </row>
    <row r="399" spans="1:18" s="462" customFormat="1" ht="16.350000000000001" customHeight="1">
      <c r="C399" s="560"/>
      <c r="D399" s="560"/>
      <c r="E399" s="837"/>
      <c r="G399" s="811"/>
      <c r="H399" s="811"/>
      <c r="I399" s="812"/>
      <c r="J399" s="811"/>
      <c r="K399" s="811"/>
      <c r="L399" s="811"/>
      <c r="M399" s="811"/>
      <c r="N399" s="811"/>
      <c r="O399" s="811"/>
      <c r="P399" s="811"/>
      <c r="Q399" s="811"/>
      <c r="R399" s="811"/>
    </row>
    <row r="400" spans="1:18" s="462" customFormat="1" ht="16.350000000000001" customHeight="1">
      <c r="C400" s="560"/>
      <c r="D400" s="560"/>
      <c r="E400" s="837"/>
      <c r="G400" s="811"/>
      <c r="H400" s="811"/>
      <c r="I400" s="812"/>
      <c r="J400" s="811"/>
      <c r="K400" s="811"/>
      <c r="L400" s="811"/>
      <c r="M400" s="811"/>
      <c r="N400" s="811"/>
      <c r="O400" s="811"/>
      <c r="P400" s="811"/>
      <c r="Q400" s="811"/>
      <c r="R400" s="811"/>
    </row>
    <row r="401" spans="1:18" s="462" customFormat="1" ht="16.350000000000001" customHeight="1">
      <c r="C401" s="560"/>
      <c r="D401" s="560"/>
      <c r="E401" s="837"/>
      <c r="G401" s="811"/>
      <c r="H401" s="811"/>
      <c r="I401" s="812"/>
      <c r="J401" s="811"/>
      <c r="K401" s="811"/>
      <c r="L401" s="811"/>
      <c r="M401" s="811"/>
      <c r="N401" s="811"/>
      <c r="O401" s="811"/>
      <c r="P401" s="811"/>
      <c r="Q401" s="811"/>
      <c r="R401" s="811"/>
    </row>
    <row r="402" spans="1:18" s="462" customFormat="1" ht="16.350000000000001" customHeight="1">
      <c r="C402" s="560"/>
      <c r="D402" s="560"/>
      <c r="E402" s="837"/>
      <c r="G402" s="811"/>
      <c r="H402" s="811"/>
      <c r="I402" s="812"/>
      <c r="J402" s="811"/>
      <c r="K402" s="811"/>
      <c r="L402" s="811"/>
      <c r="M402" s="811"/>
      <c r="N402" s="811"/>
      <c r="O402" s="811"/>
      <c r="P402" s="811"/>
      <c r="Q402" s="811"/>
      <c r="R402" s="811"/>
    </row>
    <row r="403" spans="1:18" s="462" customFormat="1" ht="16.350000000000001" customHeight="1">
      <c r="C403" s="560"/>
      <c r="D403" s="560"/>
      <c r="E403" s="837"/>
      <c r="G403" s="811"/>
      <c r="H403" s="811"/>
      <c r="I403" s="812"/>
      <c r="J403" s="811"/>
      <c r="K403" s="811"/>
      <c r="L403" s="811"/>
      <c r="M403" s="811"/>
      <c r="N403" s="811"/>
      <c r="O403" s="811"/>
      <c r="P403" s="811"/>
      <c r="Q403" s="811"/>
      <c r="R403" s="811"/>
    </row>
    <row r="404" spans="1:18" s="462" customFormat="1" ht="16.350000000000001" customHeight="1">
      <c r="C404" s="560"/>
      <c r="D404" s="560"/>
      <c r="E404" s="837"/>
      <c r="G404" s="811"/>
      <c r="H404" s="811"/>
      <c r="I404" s="812"/>
      <c r="J404" s="811"/>
      <c r="K404" s="811"/>
      <c r="L404" s="811"/>
      <c r="M404" s="811"/>
      <c r="N404" s="811"/>
      <c r="O404" s="811"/>
      <c r="P404" s="811"/>
      <c r="Q404" s="811"/>
      <c r="R404" s="811"/>
    </row>
    <row r="405" spans="1:18" s="462" customFormat="1" ht="16.350000000000001" customHeight="1">
      <c r="C405" s="560"/>
      <c r="D405" s="560"/>
      <c r="E405" s="837"/>
      <c r="G405" s="811"/>
      <c r="H405" s="811"/>
      <c r="I405" s="812"/>
      <c r="J405" s="811"/>
      <c r="K405" s="811"/>
      <c r="L405" s="811"/>
      <c r="M405" s="811"/>
      <c r="N405" s="811"/>
      <c r="O405" s="811"/>
      <c r="P405" s="811"/>
      <c r="Q405" s="811"/>
      <c r="R405" s="811"/>
    </row>
    <row r="406" spans="1:18" s="462" customFormat="1" ht="16.350000000000001" customHeight="1">
      <c r="C406" s="560"/>
      <c r="D406" s="560"/>
      <c r="E406" s="837"/>
      <c r="G406" s="811"/>
      <c r="H406" s="811"/>
      <c r="I406" s="812"/>
      <c r="J406" s="811"/>
      <c r="K406" s="811"/>
      <c r="L406" s="811"/>
      <c r="M406" s="811"/>
      <c r="N406" s="811"/>
      <c r="O406" s="811"/>
      <c r="P406" s="811"/>
      <c r="Q406" s="811"/>
      <c r="R406" s="811"/>
    </row>
    <row r="407" spans="1:18" s="462" customFormat="1" ht="16.350000000000001" customHeight="1">
      <c r="C407" s="560"/>
      <c r="D407" s="560"/>
      <c r="E407" s="837"/>
      <c r="G407" s="811"/>
      <c r="H407" s="811"/>
      <c r="I407" s="812"/>
      <c r="J407" s="811"/>
      <c r="K407" s="811"/>
      <c r="L407" s="811"/>
      <c r="M407" s="811"/>
      <c r="N407" s="811"/>
      <c r="O407" s="811"/>
      <c r="P407" s="811"/>
      <c r="Q407" s="811"/>
      <c r="R407" s="811"/>
    </row>
    <row r="408" spans="1:18" s="462" customFormat="1" ht="16.350000000000001" customHeight="1">
      <c r="C408" s="560"/>
      <c r="D408" s="560"/>
      <c r="E408" s="837"/>
      <c r="G408" s="811"/>
      <c r="H408" s="811"/>
      <c r="I408" s="812"/>
      <c r="J408" s="811"/>
      <c r="K408" s="811"/>
      <c r="L408" s="811"/>
      <c r="M408" s="811"/>
      <c r="N408" s="811"/>
      <c r="O408" s="811"/>
      <c r="P408" s="811"/>
      <c r="Q408" s="811"/>
      <c r="R408" s="811"/>
    </row>
    <row r="409" spans="1:18" s="462" customFormat="1" ht="16.350000000000001" customHeight="1">
      <c r="C409" s="560"/>
      <c r="D409" s="560"/>
      <c r="E409" s="837"/>
      <c r="G409" s="811"/>
      <c r="H409" s="811"/>
      <c r="I409" s="812"/>
      <c r="J409" s="811"/>
      <c r="K409" s="811"/>
      <c r="L409" s="811"/>
      <c r="M409" s="811"/>
      <c r="N409" s="811"/>
      <c r="O409" s="811"/>
      <c r="P409" s="811"/>
      <c r="Q409" s="811"/>
      <c r="R409" s="811"/>
    </row>
    <row r="410" spans="1:18" s="462" customFormat="1" ht="16.350000000000001" customHeight="1">
      <c r="C410" s="560"/>
      <c r="D410" s="560"/>
      <c r="E410" s="837"/>
      <c r="G410" s="811"/>
      <c r="H410" s="811"/>
      <c r="I410" s="812"/>
      <c r="J410" s="811"/>
      <c r="K410" s="811"/>
      <c r="L410" s="811"/>
      <c r="M410" s="811"/>
      <c r="N410" s="811"/>
      <c r="O410" s="811"/>
      <c r="P410" s="811"/>
      <c r="Q410" s="811"/>
      <c r="R410" s="811"/>
    </row>
    <row r="411" spans="1:18" s="462" customFormat="1" ht="16.350000000000001" customHeight="1">
      <c r="C411" s="560"/>
      <c r="D411" s="560"/>
      <c r="E411" s="837"/>
      <c r="G411" s="811"/>
      <c r="H411" s="811"/>
      <c r="I411" s="812"/>
      <c r="J411" s="811"/>
      <c r="K411" s="811"/>
      <c r="L411" s="811"/>
      <c r="M411" s="811"/>
      <c r="N411" s="811"/>
      <c r="O411" s="811"/>
      <c r="P411" s="811"/>
      <c r="Q411" s="811"/>
      <c r="R411" s="811"/>
    </row>
    <row r="412" spans="1:18" s="462" customFormat="1" ht="16.350000000000001" customHeight="1">
      <c r="C412" s="560"/>
      <c r="D412" s="560"/>
      <c r="E412" s="837"/>
      <c r="G412" s="811"/>
      <c r="H412" s="811"/>
      <c r="I412" s="812"/>
      <c r="J412" s="811"/>
      <c r="K412" s="811"/>
      <c r="L412" s="811"/>
      <c r="M412" s="811"/>
      <c r="N412" s="811"/>
      <c r="O412" s="811"/>
      <c r="P412" s="811"/>
      <c r="Q412" s="811"/>
      <c r="R412" s="811"/>
    </row>
    <row r="413" spans="1:18" s="462" customFormat="1" ht="16.350000000000001" customHeight="1">
      <c r="C413" s="560"/>
      <c r="D413" s="560"/>
      <c r="E413" s="837"/>
      <c r="G413" s="811"/>
      <c r="H413" s="811"/>
      <c r="I413" s="812"/>
      <c r="J413" s="811"/>
      <c r="K413" s="811"/>
      <c r="L413" s="811"/>
      <c r="M413" s="811"/>
      <c r="N413" s="811"/>
      <c r="O413" s="811"/>
      <c r="P413" s="811"/>
      <c r="Q413" s="811"/>
      <c r="R413" s="811"/>
    </row>
    <row r="414" spans="1:18" s="462" customFormat="1" ht="16.350000000000001" customHeight="1">
      <c r="A414" s="1146" t="s">
        <v>1125</v>
      </c>
      <c r="B414" s="1147"/>
      <c r="C414" s="1148" t="s">
        <v>614</v>
      </c>
      <c r="D414" s="1148"/>
      <c r="E414" s="881" t="s">
        <v>1126</v>
      </c>
      <c r="G414" s="811"/>
      <c r="H414" s="811"/>
      <c r="I414" s="812"/>
      <c r="J414" s="811"/>
      <c r="K414" s="811"/>
      <c r="L414" s="811"/>
      <c r="M414" s="811"/>
      <c r="N414" s="811"/>
      <c r="O414" s="811"/>
      <c r="P414" s="811"/>
      <c r="Q414" s="811"/>
      <c r="R414" s="811"/>
    </row>
    <row r="415" spans="1:18" ht="9.75" customHeight="1">
      <c r="A415" s="215"/>
      <c r="B415" s="215"/>
      <c r="C415" s="215"/>
      <c r="D415" s="215"/>
      <c r="E415" s="744"/>
      <c r="F415" s="327"/>
      <c r="H415" s="803"/>
      <c r="I415" s="803"/>
    </row>
    <row r="416" spans="1:18" s="567" customFormat="1" ht="12">
      <c r="A416" s="563"/>
      <c r="B416" s="564" t="s">
        <v>615</v>
      </c>
      <c r="C416" s="565" t="s">
        <v>298</v>
      </c>
      <c r="D416" s="565" t="s">
        <v>655</v>
      </c>
      <c r="E416" s="743"/>
      <c r="F416" s="566"/>
      <c r="G416" s="804"/>
      <c r="H416" s="805" t="s">
        <v>297</v>
      </c>
      <c r="I416" s="805"/>
      <c r="J416" s="804" t="s">
        <v>786</v>
      </c>
      <c r="K416" s="804" t="s">
        <v>1248</v>
      </c>
      <c r="L416" s="804"/>
      <c r="M416" s="804"/>
      <c r="N416" s="804"/>
      <c r="O416" s="804"/>
      <c r="P416" s="804"/>
      <c r="Q416" s="804"/>
      <c r="R416" s="804"/>
    </row>
    <row r="417" spans="1:18" ht="27.6" customHeight="1">
      <c r="A417" s="215"/>
      <c r="B417" s="546" t="s">
        <v>608</v>
      </c>
      <c r="C417" s="873" t="str">
        <f>AOP!B35</f>
        <v>Which best describes checks on the boundary integrity for the system's pressure zone(s)?</v>
      </c>
      <c r="D417" s="329"/>
      <c r="E417" s="743" t="str">
        <f t="shared" ref="E417:E421" si="24">IFERROR(IF(OR($D$422=10,NOT(ISNUMBER($D$422))),"",IF(I417=$I$422,"Limiting","")),"")</f>
        <v/>
      </c>
      <c r="F417" s="327"/>
      <c r="G417" s="813">
        <f t="shared" ref="G417:G421" si="25">IF(LEN(D417)&gt;0,1,0)</f>
        <v>0</v>
      </c>
      <c r="H417" s="807" t="e">
        <f>VLOOKUP('Interactive Data Grading'!D417,AOP!$C$6:$H$17,6,FALSE)</f>
        <v>#N/A</v>
      </c>
      <c r="I417" s="807" t="e">
        <f>H417</f>
        <v>#N/A</v>
      </c>
      <c r="K417" s="837" t="str">
        <f>IFERROR(IF(OR($D$422=10,NOT(ISNUMBER($D$422))),"",IF(I417=$I$422,"Limiting","")),"")</f>
        <v/>
      </c>
    </row>
    <row r="418" spans="1:18" ht="27.6" customHeight="1">
      <c r="A418" s="215"/>
      <c r="B418" s="546" t="s">
        <v>609</v>
      </c>
      <c r="C418" s="873" t="str">
        <f>AOP!B36</f>
        <v>Which best describes how one-time pressure readings (i.e. from hydrants) are collected?</v>
      </c>
      <c r="D418" s="329"/>
      <c r="E418" s="743" t="str">
        <f t="shared" si="24"/>
        <v/>
      </c>
      <c r="F418" s="327"/>
      <c r="G418" s="813">
        <f t="shared" si="25"/>
        <v>0</v>
      </c>
      <c r="H418" s="808" t="e">
        <f>VLOOKUP('Interactive Data Grading'!D418,AOP!$D$6:$H$17,5,FALSE)</f>
        <v>#N/A</v>
      </c>
      <c r="I418" s="808" t="e">
        <f>IF(H419=10,10,H418)</f>
        <v>#N/A</v>
      </c>
      <c r="J418" s="816" t="s">
        <v>754</v>
      </c>
      <c r="K418" s="837" t="str">
        <f t="shared" ref="K418:K421" si="26">IFERROR(IF(OR($D$422=10,NOT(ISNUMBER($D$422))),"",IF(I418=$I$422,"Limiting","")),"")</f>
        <v/>
      </c>
    </row>
    <row r="419" spans="1:18" ht="27.6" customHeight="1">
      <c r="A419" s="215"/>
      <c r="B419" s="546" t="s">
        <v>610</v>
      </c>
      <c r="C419" s="873" t="str">
        <f>AOP!B37</f>
        <v>Which best describes where continuous pressure data (via temporary data loggers or permanent telemetry) is collected?</v>
      </c>
      <c r="D419" s="329"/>
      <c r="E419" s="743" t="str">
        <f t="shared" si="24"/>
        <v/>
      </c>
      <c r="F419" s="327"/>
      <c r="G419" s="813">
        <f t="shared" si="25"/>
        <v>0</v>
      </c>
      <c r="H419" s="807" t="e">
        <f>VLOOKUP('Interactive Data Grading'!D419,AOP!$E$6:$H$17,4,FALSE)</f>
        <v>#N/A</v>
      </c>
      <c r="I419" s="808" t="e">
        <f>H419</f>
        <v>#N/A</v>
      </c>
      <c r="K419" s="837" t="str">
        <f>IFERROR(IF(OR($D$422=10,NOT(ISNUMBER($D$422))),"",IF(I419=$I$422,"Limiting","")),"")</f>
        <v/>
      </c>
    </row>
    <row r="420" spans="1:18" ht="27.6" customHeight="1">
      <c r="A420" s="215"/>
      <c r="B420" s="546" t="s">
        <v>611</v>
      </c>
      <c r="C420" s="873" t="str">
        <f>AOP!B38</f>
        <v xml:space="preserve">
Which best describes how continuous pressure data is collected?</v>
      </c>
      <c r="D420" s="329"/>
      <c r="E420" s="743" t="str">
        <f t="shared" si="24"/>
        <v/>
      </c>
      <c r="F420" s="327"/>
      <c r="G420" s="813">
        <f>IF(OR(LEN(D420)&gt;0,D419=AOP!E23),1,0)</f>
        <v>0</v>
      </c>
      <c r="H420" s="807" t="e">
        <f>VLOOKUP('Interactive Data Grading'!D420,AOP!$F$6:$H$17,3,FALSE)</f>
        <v>#N/A</v>
      </c>
      <c r="I420" s="807" t="e">
        <f>IF(D419=AOP!E23,X,H420)</f>
        <v>#N/A</v>
      </c>
      <c r="J420" s="799" t="s">
        <v>886</v>
      </c>
      <c r="K420" s="837" t="str">
        <f t="shared" si="26"/>
        <v/>
      </c>
    </row>
    <row r="421" spans="1:18" ht="27.6" customHeight="1">
      <c r="A421" s="215"/>
      <c r="B421" s="546" t="s">
        <v>612</v>
      </c>
      <c r="C421" s="873" t="str">
        <f>AOP!B39</f>
        <v>How was the input derived?</v>
      </c>
      <c r="D421" s="329"/>
      <c r="E421" s="743" t="str">
        <f t="shared" si="24"/>
        <v/>
      </c>
      <c r="F421" s="327"/>
      <c r="G421" s="813">
        <f t="shared" si="25"/>
        <v>0</v>
      </c>
      <c r="H421" s="807" t="e">
        <f>VLOOKUP('Interactive Data Grading'!D421,AOP!$G$6:$H$17,2,FALSE)</f>
        <v>#N/A</v>
      </c>
      <c r="I421" s="807" t="e">
        <f>H421</f>
        <v>#N/A</v>
      </c>
      <c r="K421" s="837" t="str">
        <f t="shared" si="26"/>
        <v/>
      </c>
    </row>
    <row r="422" spans="1:18" ht="27.6" customHeight="1">
      <c r="A422" s="215"/>
      <c r="B422" s="215"/>
      <c r="C422" s="328" t="s">
        <v>308</v>
      </c>
      <c r="D422" s="746" t="str">
        <f>IF(G422&lt;1,"",I422)</f>
        <v/>
      </c>
      <c r="E422" s="743"/>
      <c r="F422" s="327"/>
      <c r="G422" s="815">
        <f>MIN(G417:G421)</f>
        <v>0</v>
      </c>
      <c r="H422" s="810" t="e">
        <f>MIN(H417:H421)</f>
        <v>#N/A</v>
      </c>
      <c r="I422" s="810">
        <f t="array" ref="I422">MIN(IF(ISNUMBER(I417:I421),I417:I421))</f>
        <v>0</v>
      </c>
    </row>
    <row r="423" spans="1:18" s="462" customFormat="1" ht="16.350000000000001" customHeight="1">
      <c r="C423" s="560"/>
      <c r="D423" s="560"/>
      <c r="E423" s="837"/>
      <c r="G423" s="811"/>
      <c r="H423" s="811"/>
      <c r="I423" s="812"/>
      <c r="J423" s="811"/>
      <c r="K423" s="811"/>
      <c r="L423" s="811"/>
      <c r="M423" s="811"/>
      <c r="N423" s="811"/>
      <c r="O423" s="811"/>
      <c r="P423" s="811"/>
      <c r="Q423" s="811"/>
      <c r="R423" s="811"/>
    </row>
    <row r="424" spans="1:18" s="462" customFormat="1" ht="16.350000000000001" customHeight="1">
      <c r="C424" s="560"/>
      <c r="D424" s="560"/>
      <c r="E424" s="837"/>
      <c r="G424" s="811"/>
      <c r="H424" s="811"/>
      <c r="I424" s="812"/>
      <c r="J424" s="811"/>
      <c r="K424" s="811"/>
      <c r="L424" s="811"/>
      <c r="M424" s="811"/>
      <c r="N424" s="811"/>
      <c r="O424" s="811"/>
      <c r="P424" s="811"/>
      <c r="Q424" s="811"/>
      <c r="R424" s="811"/>
    </row>
    <row r="425" spans="1:18" s="462" customFormat="1" ht="16.350000000000001" customHeight="1">
      <c r="C425" s="560"/>
      <c r="D425" s="560"/>
      <c r="G425" s="811"/>
      <c r="H425" s="811"/>
      <c r="I425" s="812"/>
      <c r="J425" s="811"/>
      <c r="K425" s="811"/>
      <c r="L425" s="811"/>
      <c r="M425" s="811"/>
      <c r="N425" s="811"/>
      <c r="O425" s="811"/>
      <c r="P425" s="811"/>
      <c r="Q425" s="811"/>
      <c r="R425" s="811"/>
    </row>
    <row r="426" spans="1:18" s="462" customFormat="1" ht="16.350000000000001" customHeight="1">
      <c r="C426" s="560"/>
      <c r="D426" s="560"/>
      <c r="E426" s="837"/>
      <c r="G426" s="811"/>
      <c r="H426" s="811"/>
      <c r="I426" s="812"/>
      <c r="J426" s="811"/>
      <c r="K426" s="811"/>
      <c r="L426" s="811"/>
      <c r="M426" s="811"/>
      <c r="N426" s="811"/>
      <c r="O426" s="811"/>
      <c r="P426" s="811"/>
      <c r="Q426" s="811"/>
      <c r="R426" s="811"/>
    </row>
    <row r="427" spans="1:18" s="462" customFormat="1" ht="16.350000000000001" customHeight="1">
      <c r="C427" s="560"/>
      <c r="D427" s="560"/>
      <c r="E427" s="837"/>
      <c r="G427" s="811"/>
      <c r="H427" s="811"/>
      <c r="I427" s="812"/>
      <c r="J427" s="811"/>
      <c r="K427" s="811"/>
      <c r="L427" s="811"/>
      <c r="M427" s="811"/>
      <c r="N427" s="811"/>
      <c r="O427" s="811"/>
      <c r="P427" s="811"/>
      <c r="Q427" s="811"/>
      <c r="R427" s="811"/>
    </row>
    <row r="428" spans="1:18" s="462" customFormat="1" ht="16.350000000000001" customHeight="1">
      <c r="C428" s="560"/>
      <c r="D428" s="560"/>
      <c r="E428" s="837"/>
      <c r="G428" s="811"/>
      <c r="H428" s="811"/>
      <c r="I428" s="812"/>
      <c r="J428" s="811"/>
      <c r="K428" s="811"/>
      <c r="L428" s="811"/>
      <c r="M428" s="811"/>
      <c r="N428" s="811"/>
      <c r="O428" s="811"/>
      <c r="P428" s="811"/>
      <c r="Q428" s="811"/>
      <c r="R428" s="811"/>
    </row>
    <row r="429" spans="1:18" s="462" customFormat="1" ht="16.350000000000001" customHeight="1">
      <c r="C429" s="560"/>
      <c r="D429" s="560"/>
      <c r="E429" s="837"/>
      <c r="G429" s="811"/>
      <c r="H429" s="811"/>
      <c r="I429" s="812"/>
      <c r="J429" s="811"/>
      <c r="K429" s="811"/>
      <c r="L429" s="811"/>
      <c r="M429" s="811"/>
      <c r="N429" s="811"/>
      <c r="O429" s="811"/>
      <c r="P429" s="811"/>
      <c r="Q429" s="811"/>
      <c r="R429" s="811"/>
    </row>
    <row r="430" spans="1:18" s="462" customFormat="1" ht="16.350000000000001" customHeight="1">
      <c r="C430" s="560"/>
      <c r="D430" s="560"/>
      <c r="E430" s="837"/>
      <c r="G430" s="811"/>
      <c r="H430" s="811"/>
      <c r="I430" s="812"/>
      <c r="J430" s="811"/>
      <c r="K430" s="811"/>
      <c r="L430" s="811"/>
      <c r="M430" s="811"/>
      <c r="N430" s="811"/>
      <c r="O430" s="811"/>
      <c r="P430" s="811"/>
      <c r="Q430" s="811"/>
      <c r="R430" s="811"/>
    </row>
    <row r="431" spans="1:18" s="462" customFormat="1" ht="16.350000000000001" customHeight="1">
      <c r="C431" s="560"/>
      <c r="D431" s="560"/>
      <c r="E431" s="837"/>
      <c r="G431" s="811"/>
      <c r="H431" s="811"/>
      <c r="I431" s="812"/>
      <c r="J431" s="811"/>
      <c r="K431" s="811"/>
      <c r="L431" s="811"/>
      <c r="M431" s="811"/>
      <c r="N431" s="811"/>
      <c r="O431" s="811"/>
      <c r="P431" s="811"/>
      <c r="Q431" s="811"/>
      <c r="R431" s="811"/>
    </row>
    <row r="432" spans="1:18" s="462" customFormat="1" ht="16.350000000000001" customHeight="1">
      <c r="C432" s="560"/>
      <c r="D432" s="560"/>
      <c r="E432" s="837"/>
      <c r="G432" s="811"/>
      <c r="H432" s="811"/>
      <c r="I432" s="812"/>
      <c r="J432" s="811"/>
      <c r="K432" s="811"/>
      <c r="L432" s="811"/>
      <c r="M432" s="811"/>
      <c r="N432" s="811"/>
      <c r="O432" s="811"/>
      <c r="P432" s="811"/>
      <c r="Q432" s="811"/>
      <c r="R432" s="811"/>
    </row>
    <row r="433" spans="1:18" s="462" customFormat="1" ht="16.350000000000001" customHeight="1">
      <c r="C433" s="560"/>
      <c r="D433" s="560"/>
      <c r="E433" s="837"/>
      <c r="G433" s="811"/>
      <c r="H433" s="811"/>
      <c r="I433" s="812"/>
      <c r="J433" s="811"/>
      <c r="K433" s="811"/>
      <c r="L433" s="811"/>
      <c r="M433" s="811"/>
      <c r="N433" s="811"/>
      <c r="O433" s="811"/>
      <c r="P433" s="811"/>
      <c r="Q433" s="811"/>
      <c r="R433" s="811"/>
    </row>
    <row r="434" spans="1:18" s="462" customFormat="1" ht="16.350000000000001" customHeight="1">
      <c r="C434" s="560"/>
      <c r="D434" s="560"/>
      <c r="E434" s="837"/>
      <c r="G434" s="811"/>
      <c r="H434" s="811"/>
      <c r="I434" s="812"/>
      <c r="J434" s="811"/>
      <c r="K434" s="811"/>
      <c r="L434" s="811"/>
      <c r="M434" s="811"/>
      <c r="N434" s="811"/>
      <c r="O434" s="811"/>
      <c r="P434" s="811"/>
      <c r="Q434" s="811"/>
      <c r="R434" s="811"/>
    </row>
    <row r="435" spans="1:18" s="462" customFormat="1" ht="16.350000000000001" customHeight="1">
      <c r="C435" s="560"/>
      <c r="D435" s="560"/>
      <c r="E435" s="837"/>
      <c r="G435" s="811"/>
      <c r="H435" s="811"/>
      <c r="I435" s="812"/>
      <c r="J435" s="811"/>
      <c r="K435" s="811"/>
      <c r="L435" s="811"/>
      <c r="M435" s="811"/>
      <c r="N435" s="811"/>
      <c r="O435" s="811"/>
      <c r="P435" s="811"/>
      <c r="Q435" s="811"/>
      <c r="R435" s="811"/>
    </row>
    <row r="436" spans="1:18" s="462" customFormat="1" ht="16.350000000000001" customHeight="1">
      <c r="C436" s="560"/>
      <c r="D436" s="560"/>
      <c r="E436" s="837"/>
      <c r="G436" s="811"/>
      <c r="H436" s="811"/>
      <c r="I436" s="812"/>
      <c r="J436" s="811"/>
      <c r="K436" s="811"/>
      <c r="L436" s="811"/>
      <c r="M436" s="811"/>
      <c r="N436" s="811"/>
      <c r="O436" s="811"/>
      <c r="P436" s="811"/>
      <c r="Q436" s="811"/>
      <c r="R436" s="811"/>
    </row>
    <row r="437" spans="1:18" s="462" customFormat="1" ht="16.350000000000001" customHeight="1">
      <c r="C437" s="560"/>
      <c r="D437" s="560"/>
      <c r="E437" s="837"/>
      <c r="G437" s="811"/>
      <c r="H437" s="811"/>
      <c r="I437" s="812"/>
      <c r="J437" s="811"/>
      <c r="K437" s="811"/>
      <c r="L437" s="811"/>
      <c r="M437" s="811"/>
      <c r="N437" s="811"/>
      <c r="O437" s="811"/>
      <c r="P437" s="811"/>
      <c r="Q437" s="811"/>
      <c r="R437" s="811"/>
    </row>
    <row r="438" spans="1:18" s="462" customFormat="1" ht="16.350000000000001" customHeight="1">
      <c r="A438" s="1146" t="s">
        <v>1125</v>
      </c>
      <c r="B438" s="1147"/>
      <c r="C438" s="1148" t="s">
        <v>634</v>
      </c>
      <c r="D438" s="1148"/>
      <c r="E438" s="881" t="s">
        <v>1126</v>
      </c>
      <c r="G438" s="811"/>
      <c r="H438" s="811"/>
      <c r="I438" s="812"/>
      <c r="J438" s="811"/>
      <c r="K438" s="811"/>
      <c r="L438" s="811"/>
      <c r="M438" s="811"/>
      <c r="N438" s="811"/>
      <c r="O438" s="811"/>
      <c r="P438" s="811"/>
      <c r="Q438" s="811"/>
      <c r="R438" s="811"/>
    </row>
    <row r="439" spans="1:18" ht="12" customHeight="1">
      <c r="A439" s="215"/>
      <c r="B439" s="215"/>
      <c r="C439" s="1156" t="str">
        <f>IF(OR(AND(D441="Yes",Worksheet!H23&gt;0),AND(D441="No",Worksheet!H23&lt;=0),LEN(D441)=0),"","Inconsistency between Worksheet BMAC input and cruc.0 response")</f>
        <v/>
      </c>
      <c r="D439" s="1156"/>
      <c r="E439" s="744"/>
      <c r="F439" s="327"/>
      <c r="H439" s="803"/>
    </row>
    <row r="440" spans="1:18" s="567" customFormat="1" ht="12">
      <c r="A440" s="563"/>
      <c r="B440" s="564" t="s">
        <v>635</v>
      </c>
      <c r="C440" s="565" t="s">
        <v>298</v>
      </c>
      <c r="D440" s="565" t="s">
        <v>655</v>
      </c>
      <c r="E440" s="743"/>
      <c r="F440" s="566"/>
      <c r="G440" s="804"/>
      <c r="H440" s="805" t="s">
        <v>297</v>
      </c>
      <c r="I440" s="819"/>
      <c r="J440" s="804" t="s">
        <v>786</v>
      </c>
      <c r="K440" s="804"/>
      <c r="L440" s="804"/>
      <c r="M440" s="804"/>
      <c r="N440" s="804"/>
      <c r="O440" s="804"/>
      <c r="P440" s="804"/>
      <c r="Q440" s="804"/>
      <c r="R440" s="804"/>
    </row>
    <row r="441" spans="1:18" ht="27.6" customHeight="1">
      <c r="A441" s="215"/>
      <c r="B441" s="546" t="s">
        <v>868</v>
      </c>
      <c r="C441" s="873" t="str">
        <f>CRUC!B34</f>
        <v>Was any metered consumption billed on a volumetric basis in the audit period?</v>
      </c>
      <c r="D441" s="329"/>
      <c r="E441" s="743"/>
      <c r="F441" s="327"/>
      <c r="H441" s="807"/>
      <c r="I441" s="807"/>
      <c r="J441" s="820" t="s">
        <v>837</v>
      </c>
    </row>
    <row r="442" spans="1:18" ht="27.6" customHeight="1">
      <c r="A442" s="215"/>
      <c r="B442" s="546" t="s">
        <v>619</v>
      </c>
      <c r="C442" s="873" t="str">
        <f>CRUC!B35</f>
        <v>Which best describes the use and reliability of the current rate structure?</v>
      </c>
      <c r="D442" s="329"/>
      <c r="E442" s="743" t="str">
        <f>IF(OR($D$446=10,$D$446="n/a"),"",IFERROR(IF(H442=MIN($H$442:$H$445),"Limiting",""),""))</f>
        <v/>
      </c>
      <c r="F442" s="327"/>
      <c r="H442" s="807" t="e">
        <f>VLOOKUP('Interactive Data Grading'!D442,CRUC!$C$6:$G$17,5,FALSE)</f>
        <v>#N/A</v>
      </c>
      <c r="I442" s="807"/>
      <c r="J442" s="820"/>
    </row>
    <row r="443" spans="1:18" ht="27.6" customHeight="1">
      <c r="A443" s="215"/>
      <c r="B443" s="546" t="s">
        <v>620</v>
      </c>
      <c r="C443" s="873" t="str">
        <f>CRUC!B36</f>
        <v>Choose the option that best describes how the input was derived</v>
      </c>
      <c r="D443" s="329"/>
      <c r="E443" s="743" t="str">
        <f>IF(OR($D$446=10,$D$446="n/a"),"",IFERROR(IF(H443=MIN($H$442:$H$445),"Limiting",""),""))</f>
        <v/>
      </c>
      <c r="F443" s="327"/>
      <c r="H443" s="807" t="e">
        <f>VLOOKUP('Interactive Data Grading'!D443,CRUC!$D$6:$G$17,4,FALSE)</f>
        <v>#N/A</v>
      </c>
      <c r="I443" s="807"/>
    </row>
    <row r="444" spans="1:18" ht="27.6" customHeight="1">
      <c r="A444" s="215"/>
      <c r="B444" s="546" t="s">
        <v>621</v>
      </c>
      <c r="C444" s="873" t="str">
        <f>CRUC!B37</f>
        <v>Is there any additional volumetric revenue the utility receives that depends on water meter readings, such as sewer?</v>
      </c>
      <c r="D444" s="329"/>
      <c r="E444" s="743" t="str">
        <f>IF(OR($D$446=10,$D$446="n/a"),"",IFERROR(IF(H444=MIN($H$442:$H$445),"Limiting",""),""))</f>
        <v/>
      </c>
      <c r="F444" s="327"/>
      <c r="H444" s="807" t="e">
        <f>VLOOKUP('Interactive Data Grading'!D444,CRUC!$E$6:$G$17,3,FALSE)</f>
        <v>#N/A</v>
      </c>
      <c r="I444" s="807"/>
    </row>
    <row r="445" spans="1:18" ht="27.6" customHeight="1">
      <c r="A445" s="215"/>
      <c r="B445" s="546" t="s">
        <v>622</v>
      </c>
      <c r="C445" s="873" t="str">
        <f>CRUC!B38</f>
        <v>Has the input derivation been reviewed by someone with expert knowledge in the M36 methodology?</v>
      </c>
      <c r="D445" s="329"/>
      <c r="E445" s="743" t="str">
        <f>IF(OR($D$446=10,$D$446="n/a"),"",IFERROR(IF(H445=MIN($H$442:$H$445),"Limiting",""),""))</f>
        <v/>
      </c>
      <c r="F445" s="327"/>
      <c r="H445" s="807" t="e">
        <f>VLOOKUP('Interactive Data Grading'!D445,CRUC!$F$6:$G$17,2,FALSE)</f>
        <v>#N/A</v>
      </c>
      <c r="I445" s="808"/>
    </row>
    <row r="446" spans="1:18" ht="27.6" customHeight="1">
      <c r="A446" s="215"/>
      <c r="B446" s="215"/>
      <c r="C446" s="328" t="s">
        <v>308</v>
      </c>
      <c r="D446" s="746" t="str">
        <f>IF(D441="No","n/a",IF(ISNA(H446),"",H446))</f>
        <v/>
      </c>
      <c r="E446" s="743"/>
      <c r="F446" s="327"/>
      <c r="H446" s="810" t="e">
        <f>MIN(H442:H445)</f>
        <v>#N/A</v>
      </c>
      <c r="I446" s="807"/>
    </row>
    <row r="447" spans="1:18" s="462" customFormat="1" ht="16.350000000000001" customHeight="1">
      <c r="C447" s="560"/>
      <c r="D447" s="560"/>
      <c r="E447" s="837"/>
      <c r="G447" s="811"/>
      <c r="H447" s="821"/>
      <c r="I447" s="812"/>
      <c r="J447" s="811"/>
      <c r="K447" s="811"/>
      <c r="L447" s="811"/>
      <c r="M447" s="811"/>
      <c r="N447" s="811"/>
      <c r="O447" s="811"/>
      <c r="P447" s="811"/>
      <c r="Q447" s="811"/>
      <c r="R447" s="811"/>
    </row>
    <row r="448" spans="1:18" s="462" customFormat="1" ht="16.350000000000001" customHeight="1">
      <c r="C448" s="560"/>
      <c r="D448" s="560"/>
      <c r="E448" s="837"/>
      <c r="G448" s="811"/>
      <c r="H448" s="821"/>
      <c r="I448" s="812"/>
      <c r="J448" s="811"/>
      <c r="K448" s="811"/>
      <c r="L448" s="811"/>
      <c r="M448" s="811"/>
      <c r="N448" s="811"/>
      <c r="O448" s="811"/>
      <c r="P448" s="811"/>
      <c r="Q448" s="811"/>
      <c r="R448" s="811"/>
    </row>
    <row r="449" spans="1:18" s="462" customFormat="1" ht="16.350000000000001" customHeight="1">
      <c r="C449" s="560"/>
      <c r="D449" s="560"/>
      <c r="E449" s="837"/>
      <c r="G449" s="811"/>
      <c r="H449" s="821"/>
      <c r="I449" s="812"/>
      <c r="J449" s="811"/>
      <c r="K449" s="811"/>
      <c r="L449" s="811"/>
      <c r="M449" s="811"/>
      <c r="N449" s="811"/>
      <c r="O449" s="811"/>
      <c r="P449" s="811"/>
      <c r="Q449" s="811"/>
      <c r="R449" s="811"/>
    </row>
    <row r="450" spans="1:18" s="462" customFormat="1" ht="16.350000000000001" customHeight="1">
      <c r="C450" s="560"/>
      <c r="D450" s="560"/>
      <c r="E450" s="837"/>
      <c r="G450" s="811"/>
      <c r="H450" s="821"/>
      <c r="I450" s="812"/>
      <c r="J450" s="811"/>
      <c r="K450" s="811"/>
      <c r="L450" s="811"/>
      <c r="M450" s="811"/>
      <c r="N450" s="811"/>
      <c r="O450" s="811"/>
      <c r="P450" s="811"/>
      <c r="Q450" s="811"/>
      <c r="R450" s="811"/>
    </row>
    <row r="451" spans="1:18" s="462" customFormat="1" ht="16.350000000000001" customHeight="1">
      <c r="C451" s="560"/>
      <c r="D451" s="560"/>
      <c r="E451" s="837"/>
      <c r="G451" s="811"/>
      <c r="H451" s="821"/>
      <c r="I451" s="812"/>
      <c r="J451" s="811"/>
      <c r="K451" s="811"/>
      <c r="L451" s="811"/>
      <c r="M451" s="811"/>
      <c r="N451" s="811"/>
      <c r="O451" s="811"/>
      <c r="P451" s="811"/>
      <c r="Q451" s="811"/>
      <c r="R451" s="811"/>
    </row>
    <row r="452" spans="1:18" s="462" customFormat="1" ht="16.350000000000001" customHeight="1">
      <c r="C452" s="560"/>
      <c r="D452" s="560"/>
      <c r="E452" s="837"/>
      <c r="G452" s="811"/>
      <c r="H452" s="821"/>
      <c r="I452" s="812"/>
      <c r="J452" s="811"/>
      <c r="K452" s="811"/>
      <c r="L452" s="811"/>
      <c r="M452" s="811"/>
      <c r="N452" s="811"/>
      <c r="O452" s="811"/>
      <c r="P452" s="811"/>
      <c r="Q452" s="811"/>
      <c r="R452" s="811"/>
    </row>
    <row r="453" spans="1:18" s="462" customFormat="1" ht="16.350000000000001" customHeight="1">
      <c r="C453" s="560"/>
      <c r="D453" s="560"/>
      <c r="E453" s="837"/>
      <c r="G453" s="811"/>
      <c r="H453" s="821"/>
      <c r="I453" s="812"/>
      <c r="J453" s="811"/>
      <c r="K453" s="811"/>
      <c r="L453" s="811"/>
      <c r="M453" s="811"/>
      <c r="N453" s="811"/>
      <c r="O453" s="811"/>
      <c r="P453" s="811"/>
      <c r="Q453" s="811"/>
      <c r="R453" s="811"/>
    </row>
    <row r="454" spans="1:18" s="462" customFormat="1" ht="16.350000000000001" customHeight="1">
      <c r="C454" s="560"/>
      <c r="D454" s="560"/>
      <c r="E454" s="837"/>
      <c r="G454" s="811"/>
      <c r="H454" s="821"/>
      <c r="I454" s="812"/>
      <c r="J454" s="811"/>
      <c r="K454" s="811"/>
      <c r="L454" s="811"/>
      <c r="M454" s="811"/>
      <c r="N454" s="811"/>
      <c r="O454" s="811"/>
      <c r="P454" s="811"/>
      <c r="Q454" s="811"/>
      <c r="R454" s="811"/>
    </row>
    <row r="455" spans="1:18" s="462" customFormat="1" ht="16.350000000000001" customHeight="1">
      <c r="C455" s="560"/>
      <c r="D455" s="560"/>
      <c r="E455" s="837"/>
      <c r="G455" s="811"/>
      <c r="H455" s="821"/>
      <c r="I455" s="812"/>
      <c r="J455" s="811"/>
      <c r="K455" s="811"/>
      <c r="L455" s="811"/>
      <c r="M455" s="811"/>
      <c r="N455" s="811"/>
      <c r="O455" s="811"/>
      <c r="P455" s="811"/>
      <c r="Q455" s="811"/>
      <c r="R455" s="811"/>
    </row>
    <row r="456" spans="1:18" s="462" customFormat="1" ht="16.350000000000001" customHeight="1">
      <c r="C456" s="560"/>
      <c r="D456" s="560"/>
      <c r="E456" s="837"/>
      <c r="G456" s="811"/>
      <c r="H456" s="821"/>
      <c r="I456" s="812"/>
      <c r="J456" s="811"/>
      <c r="K456" s="811"/>
      <c r="L456" s="811"/>
      <c r="M456" s="811"/>
      <c r="N456" s="811"/>
      <c r="O456" s="811"/>
      <c r="P456" s="811"/>
      <c r="Q456" s="811"/>
      <c r="R456" s="811"/>
    </row>
    <row r="457" spans="1:18" s="462" customFormat="1" ht="16.350000000000001" customHeight="1">
      <c r="C457" s="560"/>
      <c r="D457" s="560"/>
      <c r="E457" s="837"/>
      <c r="G457" s="811"/>
      <c r="H457" s="821"/>
      <c r="I457" s="812"/>
      <c r="J457" s="811"/>
      <c r="K457" s="811"/>
      <c r="L457" s="811"/>
      <c r="M457" s="811"/>
      <c r="N457" s="811"/>
      <c r="O457" s="811"/>
      <c r="P457" s="811"/>
      <c r="Q457" s="811"/>
      <c r="R457" s="811"/>
    </row>
    <row r="458" spans="1:18" s="462" customFormat="1" ht="16.350000000000001" customHeight="1">
      <c r="C458" s="560"/>
      <c r="D458" s="560"/>
      <c r="E458" s="837"/>
      <c r="G458" s="811"/>
      <c r="H458" s="821"/>
      <c r="I458" s="812"/>
      <c r="J458" s="811"/>
      <c r="K458" s="811"/>
      <c r="L458" s="811"/>
      <c r="M458" s="811"/>
      <c r="N458" s="811"/>
      <c r="O458" s="811"/>
      <c r="P458" s="811"/>
      <c r="Q458" s="811"/>
      <c r="R458" s="811"/>
    </row>
    <row r="459" spans="1:18" s="462" customFormat="1" ht="16.350000000000001" customHeight="1">
      <c r="C459" s="560"/>
      <c r="D459" s="560"/>
      <c r="E459" s="837"/>
      <c r="G459" s="811"/>
      <c r="H459" s="821"/>
      <c r="I459" s="812"/>
      <c r="J459" s="811"/>
      <c r="K459" s="811"/>
      <c r="L459" s="811"/>
      <c r="M459" s="811"/>
      <c r="N459" s="811"/>
      <c r="O459" s="811"/>
      <c r="P459" s="811"/>
      <c r="Q459" s="811"/>
      <c r="R459" s="811"/>
    </row>
    <row r="460" spans="1:18" s="462" customFormat="1" ht="16.350000000000001" customHeight="1">
      <c r="C460" s="560"/>
      <c r="D460" s="560"/>
      <c r="E460" s="837"/>
      <c r="G460" s="811"/>
      <c r="H460" s="821"/>
      <c r="I460" s="812"/>
      <c r="J460" s="811"/>
      <c r="K460" s="811"/>
      <c r="L460" s="811"/>
      <c r="M460" s="811"/>
      <c r="N460" s="811"/>
      <c r="O460" s="811"/>
      <c r="P460" s="811"/>
      <c r="Q460" s="811"/>
      <c r="R460" s="811"/>
    </row>
    <row r="461" spans="1:18" s="462" customFormat="1" ht="16.350000000000001" customHeight="1">
      <c r="C461" s="560"/>
      <c r="D461" s="560"/>
      <c r="E461" s="837"/>
      <c r="G461" s="811"/>
      <c r="H461" s="821"/>
      <c r="I461" s="812"/>
      <c r="J461" s="811"/>
      <c r="K461" s="811"/>
      <c r="L461" s="811"/>
      <c r="M461" s="811"/>
      <c r="N461" s="811"/>
      <c r="O461" s="811"/>
      <c r="P461" s="811"/>
      <c r="Q461" s="811"/>
      <c r="R461" s="811"/>
    </row>
    <row r="462" spans="1:18" s="462" customFormat="1" ht="16.350000000000001" customHeight="1">
      <c r="A462" s="1146" t="s">
        <v>1125</v>
      </c>
      <c r="B462" s="1147"/>
      <c r="C462" s="1148" t="s">
        <v>636</v>
      </c>
      <c r="D462" s="1148"/>
      <c r="E462" s="881" t="s">
        <v>1126</v>
      </c>
      <c r="G462" s="811"/>
      <c r="H462" s="821"/>
      <c r="I462" s="812"/>
      <c r="J462" s="811"/>
      <c r="K462" s="811"/>
      <c r="L462" s="811"/>
      <c r="M462" s="811"/>
      <c r="N462" s="811"/>
      <c r="O462" s="811"/>
      <c r="P462" s="811"/>
      <c r="Q462" s="811"/>
      <c r="R462" s="811"/>
    </row>
    <row r="463" spans="1:18" ht="3.6" customHeight="1">
      <c r="A463" s="215"/>
      <c r="B463" s="215"/>
      <c r="C463" s="215"/>
      <c r="D463" s="215"/>
      <c r="E463" s="744"/>
      <c r="F463" s="327"/>
      <c r="H463" s="803"/>
      <c r="I463" s="803"/>
    </row>
    <row r="464" spans="1:18" s="567" customFormat="1" ht="12">
      <c r="A464" s="563"/>
      <c r="B464" s="564" t="s">
        <v>637</v>
      </c>
      <c r="C464" s="565" t="s">
        <v>298</v>
      </c>
      <c r="D464" s="565" t="s">
        <v>655</v>
      </c>
      <c r="E464" s="743"/>
      <c r="F464" s="566"/>
      <c r="G464" s="804"/>
      <c r="H464" s="805" t="s">
        <v>297</v>
      </c>
      <c r="I464" s="805" t="s">
        <v>290</v>
      </c>
      <c r="J464" s="804"/>
      <c r="K464" s="804"/>
      <c r="L464" s="804"/>
      <c r="M464" s="804"/>
      <c r="N464" s="804"/>
      <c r="O464" s="804"/>
      <c r="P464" s="804"/>
      <c r="Q464" s="804"/>
      <c r="R464" s="804"/>
    </row>
    <row r="465" spans="1:10" ht="12.75" customHeight="1">
      <c r="A465" s="215"/>
      <c r="B465" s="546" t="s">
        <v>638</v>
      </c>
      <c r="C465" s="877" t="str">
        <f>VPC!B35</f>
        <v>Choose the option that best describes how the input was derived</v>
      </c>
      <c r="D465" s="522"/>
      <c r="E465" s="743" t="str">
        <f>IF($D$469=10,"",IFERROR(IF(H465=MIN($H$465:$H$468),"Limiting",""),""))</f>
        <v/>
      </c>
      <c r="F465" s="327"/>
      <c r="H465" s="807" t="e">
        <f>VLOOKUP('Interactive Data Grading'!D465,VPC!$C$6:$G$18,5,FALSE)</f>
        <v>#N/A</v>
      </c>
      <c r="I465" s="808" t="e">
        <f>H465</f>
        <v>#N/A</v>
      </c>
      <c r="J465" s="820" t="s">
        <v>647</v>
      </c>
    </row>
    <row r="466" spans="1:10" ht="133.19999999999999" customHeight="1">
      <c r="A466" s="215"/>
      <c r="B466" s="547" t="s">
        <v>639</v>
      </c>
      <c r="C466" s="87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c r="E466" s="743" t="str">
        <f>IFERROR(IF(OR($D$469=10,$D$465=VPC!$C$18),"",IF(H466=MIN($H$465:$H$468),"Limiting","")),"")</f>
        <v/>
      </c>
      <c r="F466" s="327"/>
      <c r="H466" s="814" t="e">
        <f>VLOOKUP('Interactive Data Grading'!D466,VPC!$D$6:$G$18,4,FALSE)</f>
        <v>#N/A</v>
      </c>
      <c r="I466" s="814" t="e">
        <f>H466</f>
        <v>#N/A</v>
      </c>
    </row>
    <row r="467" spans="1:10" ht="200.4" customHeight="1">
      <c r="A467" s="215"/>
      <c r="B467" s="547" t="s">
        <v>640</v>
      </c>
      <c r="C467" s="87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c r="E467" s="743" t="str">
        <f>IFERROR(IF(OR($D$469=10,$D$465=VPC!$C$18),"",IF(H467=MIN($H$465:$H$468),"Limiting","")),"")</f>
        <v/>
      </c>
      <c r="F467" s="327"/>
      <c r="H467" s="814" t="e">
        <f>VLOOKUP('Interactive Data Grading'!D467,VPC!$E$6:$G$18,3,FALSE)</f>
        <v>#N/A</v>
      </c>
      <c r="I467" s="822" t="e">
        <f>IF(D465=VPC!C17,10,'Interactive Data Grading'!H467)</f>
        <v>#N/A</v>
      </c>
    </row>
    <row r="468" spans="1:10" ht="27.6" customHeight="1">
      <c r="A468" s="215"/>
      <c r="B468" s="547" t="s">
        <v>641</v>
      </c>
      <c r="C468" s="877" t="str">
        <f>VPC!B38</f>
        <v>Has the input derivation been reviewed by someone with expert knowledge in the M36 methodology?</v>
      </c>
      <c r="D468" s="329"/>
      <c r="E468" s="743" t="str">
        <f>IFERROR(IF(OR($D$469=10,$D$465=VPC!$C$18),"",IF(H468=MIN($H$465:$H$468),"Limiting","")),"")</f>
        <v/>
      </c>
      <c r="F468" s="327"/>
      <c r="H468" s="807" t="e">
        <f>VLOOKUP('Interactive Data Grading'!D468,VPC!$F$6:$G$18,2,FALSE)</f>
        <v>#N/A</v>
      </c>
      <c r="I468" s="807" t="e">
        <f>H468</f>
        <v>#N/A</v>
      </c>
    </row>
    <row r="469" spans="1:10" ht="14.1" customHeight="1">
      <c r="A469" s="215"/>
      <c r="B469" s="215"/>
      <c r="C469" s="328" t="s">
        <v>308</v>
      </c>
      <c r="D469" s="746" t="str">
        <f>IFERROR(IF(D465=VPC!C18,'Interactive Data Grading'!D446,I469),"")</f>
        <v/>
      </c>
      <c r="E469" s="743"/>
      <c r="F469" s="327"/>
      <c r="H469" s="810" t="e">
        <f>MIN(H465:H468)</f>
        <v>#N/A</v>
      </c>
      <c r="I469" s="810" t="e">
        <f>MIN(I465:I468)</f>
        <v>#N/A</v>
      </c>
    </row>
    <row r="470" spans="1:10" ht="9.75" customHeight="1">
      <c r="A470" s="215"/>
      <c r="B470" s="215"/>
      <c r="C470" s="215"/>
      <c r="D470" s="215"/>
      <c r="E470" s="882"/>
      <c r="F470" s="327"/>
      <c r="H470" s="803"/>
      <c r="I470" s="80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algorithmName="SHA-512" hashValue="JnVk+Q+j/tckYnOFRN6IG1/cXwVHOe1ZkH8qQgxqsYTQcBiT+5Ol1tro/IVDgQ7NpE7t6OLc0Aekk5mRTBUciA==" saltValue="4Vj8PAfNnpviGzRRJyip9Q==" spinCount="100000"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8" priority="128">
      <formula>$D$8="No"</formula>
    </cfRule>
  </conditionalFormatting>
  <conditionalFormatting sqref="C40:D40">
    <cfRule type="expression" dxfId="135" priority="48">
      <formula>$D$39="No"</formula>
    </cfRule>
  </conditionalFormatting>
  <conditionalFormatting sqref="C197:D199">
    <cfRule type="expression" dxfId="127" priority="98">
      <formula>$D$196="No"</formula>
    </cfRule>
  </conditionalFormatting>
  <conditionalFormatting sqref="C220:D223">
    <cfRule type="expression" dxfId="126" priority="96">
      <formula>$D$219="No"</formula>
    </cfRule>
  </conditionalFormatting>
  <conditionalFormatting sqref="C244:D246">
    <cfRule type="expression" dxfId="125" priority="94">
      <formula>$D$243="Yes"</formula>
    </cfRule>
  </conditionalFormatting>
  <conditionalFormatting sqref="C267:D270">
    <cfRule type="expression" dxfId="124" priority="86">
      <formula>$D$266="Yes"</formula>
    </cfRule>
  </conditionalFormatting>
  <conditionalFormatting sqref="C291:D299">
    <cfRule type="expression" dxfId="123" priority="90">
      <formula>$D$290="No"</formula>
    </cfRule>
  </conditionalFormatting>
  <conditionalFormatting sqref="C320:D321">
    <cfRule type="expression" dxfId="120" priority="92">
      <formula>$D$319="Yes"</formula>
    </cfRule>
  </conditionalFormatting>
  <conditionalFormatting sqref="C394:D397">
    <cfRule type="expression" dxfId="115" priority="82">
      <formula>$D$393="Yes"</formula>
    </cfRule>
  </conditionalFormatting>
  <conditionalFormatting sqref="C442:D445">
    <cfRule type="expression" dxfId="112" priority="49">
      <formula>$D$441="No"</formula>
    </cfRule>
  </conditionalFormatting>
  <conditionalFormatting sqref="C11:E19">
    <cfRule type="expression" dxfId="110" priority="122">
      <formula>$R$7=0</formula>
    </cfRule>
  </conditionalFormatting>
  <conditionalFormatting sqref="C65:E73 C63:E63 C92:E95">
    <cfRule type="expression" dxfId="106" priority="120">
      <formula>$D$62="No"</formula>
    </cfRule>
  </conditionalFormatting>
  <conditionalFormatting sqref="C65:E73">
    <cfRule type="expression" dxfId="105" priority="72">
      <formula>$I$63&lt;6</formula>
    </cfRule>
  </conditionalFormatting>
  <conditionalFormatting sqref="C93:E93">
    <cfRule type="expression" dxfId="103" priority="70">
      <formula>$D$92="No"</formula>
    </cfRule>
  </conditionalFormatting>
  <conditionalFormatting sqref="C116:E116 C118:E126 C146:E149">
    <cfRule type="expression" dxfId="102" priority="112">
      <formula>$D$115="No"</formula>
    </cfRule>
  </conditionalFormatting>
  <conditionalFormatting sqref="C118:E126">
    <cfRule type="expression" dxfId="101" priority="2">
      <formula>$R$9=0</formula>
    </cfRule>
  </conditionalFormatting>
  <conditionalFormatting sqref="C147:E147">
    <cfRule type="expression" dxfId="100" priority="69">
      <formula>$D$146="No"</formula>
    </cfRule>
  </conditionalFormatting>
  <conditionalFormatting sqref="C170:E176">
    <cfRule type="expression" dxfId="99" priority="100">
      <formula>$D$169="No"</formula>
    </cfRule>
  </conditionalFormatting>
  <conditionalFormatting sqref="D20">
    <cfRule type="expression" dxfId="96" priority="37">
      <formula>$D$20&lt;&gt;""</formula>
    </cfRule>
  </conditionalFormatting>
  <conditionalFormatting sqref="D43">
    <cfRule type="expression" dxfId="94" priority="39">
      <formula>$D$43&lt;&gt;""</formula>
    </cfRule>
  </conditionalFormatting>
  <conditionalFormatting sqref="D74">
    <cfRule type="expression" dxfId="89" priority="35">
      <formula>$D$74&lt;&gt;""</formula>
    </cfRule>
  </conditionalFormatting>
  <conditionalFormatting sqref="D96">
    <cfRule type="expression" dxfId="86" priority="33">
      <formula>$D$96&lt;&gt;""</formula>
    </cfRule>
  </conditionalFormatting>
  <conditionalFormatting sqref="D127">
    <cfRule type="expression" dxfId="82" priority="31">
      <formula>$D$127&lt;&gt;""</formula>
    </cfRule>
  </conditionalFormatting>
  <conditionalFormatting sqref="D150">
    <cfRule type="expression" dxfId="81" priority="29">
      <formula>$D$150&lt;&gt;""</formula>
    </cfRule>
  </conditionalFormatting>
  <conditionalFormatting sqref="D177">
    <cfRule type="expression" dxfId="77" priority="27">
      <formula>$D$177&lt;&gt;""</formula>
    </cfRule>
  </conditionalFormatting>
  <conditionalFormatting sqref="D200">
    <cfRule type="expression" dxfId="73" priority="25">
      <formula>$D$200&lt;&gt;""</formula>
    </cfRule>
  </conditionalFormatting>
  <conditionalFormatting sqref="D224">
    <cfRule type="expression" dxfId="71" priority="23">
      <formula>$D$224&lt;&gt;""</formula>
    </cfRule>
  </conditionalFormatting>
  <conditionalFormatting sqref="D247">
    <cfRule type="expression" dxfId="69" priority="5">
      <formula>$D$247&lt;&gt;""</formula>
    </cfRule>
  </conditionalFormatting>
  <conditionalFormatting sqref="D271">
    <cfRule type="expression" dxfId="66" priority="7">
      <formula>$D$271&lt;&gt;""</formula>
    </cfRule>
  </conditionalFormatting>
  <conditionalFormatting sqref="D300">
    <cfRule type="expression" dxfId="62" priority="3">
      <formula>$D$300&lt;&gt;""</formula>
    </cfRule>
  </conditionalFormatting>
  <conditionalFormatting sqref="D322">
    <cfRule type="expression" dxfId="59" priority="9">
      <formula>$D$322&lt;&gt;""</formula>
    </cfRule>
  </conditionalFormatting>
  <conditionalFormatting sqref="D350">
    <cfRule type="expression" dxfId="55" priority="11">
      <formula>$D$350&lt;&gt;""</formula>
    </cfRule>
  </conditionalFormatting>
  <conditionalFormatting sqref="D374">
    <cfRule type="expression" dxfId="53" priority="13">
      <formula>$D$374&lt;&gt;""</formula>
    </cfRule>
  </conditionalFormatting>
  <conditionalFormatting sqref="D398">
    <cfRule type="expression" dxfId="50" priority="15">
      <formula>D398&lt;&gt;""</formula>
    </cfRule>
  </conditionalFormatting>
  <conditionalFormatting sqref="D422">
    <cfRule type="expression" dxfId="47" priority="17">
      <formula>$D$422&lt;&gt;""</formula>
    </cfRule>
  </conditionalFormatting>
  <conditionalFormatting sqref="D446">
    <cfRule type="expression" dxfId="43" priority="21">
      <formula>$D$446&lt;&gt;""</formula>
    </cfRule>
  </conditionalFormatting>
  <conditionalFormatting sqref="D469">
    <cfRule type="expression" dxfId="42" priority="19">
      <formula>$D$469&lt;&gt;""</formula>
    </cfRule>
  </conditionalFormatting>
  <conditionalFormatting sqref="E394:E397">
    <cfRule type="expression" dxfId="39"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CB142"/>
  <sheetViews>
    <sheetView showGridLines="0" showRowColHeaders="0" zoomScale="110" workbookViewId="0">
      <pane ySplit="3" topLeftCell="A4" activePane="bottomLeft" state="frozen"/>
      <selection pane="bottomLeft" activeCell="S48" sqref="S48:V48"/>
    </sheetView>
  </sheetViews>
  <sheetFormatPr defaultColWidth="8.88671875" defaultRowHeight="0" customHeight="1" zeroHeight="1"/>
  <cols>
    <col min="1" max="1" width="1" style="59" customWidth="1"/>
    <col min="2" max="4" width="3.44140625" style="59" customWidth="1"/>
    <col min="5" max="5" width="3.44140625" style="845"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4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14" hidden="1" customWidth="1"/>
    <col min="76" max="76" width="35.109375" style="58" hidden="1" customWidth="1"/>
    <col min="77" max="77" width="13" style="58" hidden="1" customWidth="1"/>
    <col min="78" max="80" width="8.88671875" style="58" hidden="1" customWidth="1"/>
    <col min="81" max="82" width="8.88671875" style="58" customWidth="1"/>
    <col min="83" max="16384" width="8.88671875" style="58"/>
  </cols>
  <sheetData>
    <row r="1" spans="1:77" ht="6.75" customHeight="1" thickBot="1">
      <c r="A1" s="109">
        <v>0</v>
      </c>
      <c r="B1" s="109"/>
      <c r="C1" s="109"/>
      <c r="D1" s="109"/>
      <c r="E1" s="83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57"/>
      <c r="C2" s="658"/>
      <c r="D2" s="658"/>
      <c r="E2" s="839"/>
      <c r="F2" s="658"/>
      <c r="G2" s="658"/>
      <c r="H2" s="658"/>
      <c r="I2" s="658"/>
      <c r="J2" s="658"/>
      <c r="K2" s="658"/>
      <c r="L2" s="658"/>
      <c r="M2" s="658"/>
      <c r="N2" s="658"/>
      <c r="O2" s="903"/>
      <c r="P2" s="658"/>
      <c r="Q2" s="658"/>
      <c r="R2" s="658"/>
      <c r="S2" s="658"/>
      <c r="T2" s="658"/>
      <c r="U2" s="658"/>
      <c r="V2" s="658"/>
      <c r="W2" s="658"/>
      <c r="X2" s="658"/>
      <c r="Y2" s="658"/>
      <c r="Z2" s="658"/>
      <c r="AA2" s="846" t="s">
        <v>1018</v>
      </c>
      <c r="AB2" s="661"/>
      <c r="AC2" s="658"/>
      <c r="AD2" s="658"/>
      <c r="AE2" s="658"/>
      <c r="AF2" s="658"/>
      <c r="AG2" s="658"/>
      <c r="AH2" s="658"/>
      <c r="AI2" s="658"/>
      <c r="AJ2" s="658"/>
      <c r="AK2" s="658"/>
      <c r="AL2" s="658"/>
      <c r="AM2" s="658"/>
      <c r="AN2" s="1183" t="s">
        <v>1144</v>
      </c>
      <c r="AO2" s="1184"/>
      <c r="AP2" s="1184"/>
      <c r="AQ2" s="1185"/>
      <c r="AR2" s="904"/>
      <c r="AS2" s="1183" t="s">
        <v>1145</v>
      </c>
      <c r="AT2" s="1184"/>
      <c r="AU2" s="1184"/>
      <c r="AV2" s="1185"/>
      <c r="AW2" s="904"/>
      <c r="AX2" s="1183" t="s">
        <v>1178</v>
      </c>
      <c r="AY2" s="1184"/>
      <c r="AZ2" s="1184"/>
      <c r="BA2" s="1185"/>
      <c r="BB2" s="865"/>
      <c r="BC2" s="109"/>
      <c r="BL2" s="593"/>
      <c r="BN2" s="649"/>
      <c r="BO2" s="798">
        <f>LEN(C4)</f>
        <v>119</v>
      </c>
      <c r="BP2" s="474" t="s">
        <v>1100</v>
      </c>
      <c r="BQ2" s="474"/>
      <c r="BR2" s="474"/>
      <c r="BT2" s="474"/>
      <c r="BU2" s="241"/>
      <c r="BV2" s="241"/>
      <c r="BW2" s="241"/>
    </row>
    <row r="3" spans="1:77" ht="20.399999999999999" customHeight="1">
      <c r="A3" s="109"/>
      <c r="B3" s="659"/>
      <c r="C3" s="660"/>
      <c r="D3" s="660"/>
      <c r="E3" s="840"/>
      <c r="F3" s="660"/>
      <c r="G3" s="660"/>
      <c r="H3" s="660"/>
      <c r="I3" s="660"/>
      <c r="J3" s="660"/>
      <c r="K3" s="660"/>
      <c r="L3" s="660"/>
      <c r="M3" s="663"/>
      <c r="N3" s="463"/>
      <c r="O3" s="662" t="s">
        <v>62</v>
      </c>
      <c r="P3" s="666" t="str">
        <f>IF(ISBLANK('Start Page'!AB9),"Enter info on the Start Page",'Start Page'!AB9&amp;IF(ISBLANK('Start Page'!AM28),"","  ("&amp;'Start Page'!AM28&amp;")"))</f>
        <v>Enter info on the Start Page</v>
      </c>
      <c r="Q3" s="666"/>
      <c r="R3" s="666"/>
      <c r="S3" s="666"/>
      <c r="T3" s="666"/>
      <c r="U3" s="666"/>
      <c r="V3" s="666"/>
      <c r="W3" s="666"/>
      <c r="X3" s="666"/>
      <c r="Y3" s="666"/>
      <c r="Z3" s="666"/>
      <c r="AA3" s="666"/>
      <c r="AB3" s="666"/>
      <c r="AC3" s="663"/>
      <c r="AD3" s="664"/>
      <c r="AE3" s="665"/>
      <c r="AF3" s="662" t="s">
        <v>708</v>
      </c>
      <c r="AG3" s="1187" t="str">
        <f>IF(ISBLANK('Start Page'!AB18),"",'Start Page'!AB18)</f>
        <v/>
      </c>
      <c r="AH3" s="1187"/>
      <c r="AI3" s="463"/>
      <c r="AJ3" s="667" t="str">
        <f>IF(ISBLANK('Start Page'!AB19),"",'Start Page'!AB19)</f>
        <v/>
      </c>
      <c r="AK3" s="667"/>
      <c r="AL3" s="463"/>
      <c r="AM3" s="666" t="str">
        <f>IF(ISBLANK('Start Page'!AB20),"",TEXT('Start Page'!AB20,"mmm dd yyyy")&amp;" - "&amp;TEXT('Start Page'!AB21,"mmm dd yyyy"))</f>
        <v/>
      </c>
      <c r="AN3" s="666"/>
      <c r="AO3" s="666"/>
      <c r="AP3" s="666"/>
      <c r="AQ3" s="666"/>
      <c r="AR3" s="666"/>
      <c r="AS3" s="660"/>
      <c r="AT3" s="660"/>
      <c r="AU3" s="660"/>
      <c r="AV3" s="660"/>
      <c r="AW3" s="660"/>
      <c r="AX3" s="660"/>
      <c r="AY3" s="660"/>
      <c r="AZ3" s="660"/>
      <c r="BA3" s="660"/>
      <c r="BB3" s="865"/>
      <c r="BC3" s="109"/>
      <c r="BN3" s="649"/>
      <c r="BO3" s="914" t="str">
        <f>IF(OR(LEN(J7)=0,J7="N/A*",J7="TBD"),"ok",IF(J7&gt;=100,"Max DVS Flag","ok"))</f>
        <v>ok</v>
      </c>
      <c r="BP3" s="474" t="s">
        <v>1233</v>
      </c>
      <c r="BQ3" s="474"/>
      <c r="BR3" s="474"/>
      <c r="BT3" s="474"/>
      <c r="BU3" s="241"/>
      <c r="BV3" s="241"/>
      <c r="BW3" s="241"/>
    </row>
    <row r="4" spans="1:77" ht="15" customHeight="1">
      <c r="A4" s="109"/>
      <c r="B4" s="341"/>
      <c r="C4" s="1188" t="str">
        <f>IFERROR(IF(ISBLANK('Start Page'!$AB$22),"******* REPORTING UNITS MUST BE SELECTED ON THE INSTRUCTIONS TAB BEFORE PERFORMANCE INDICATORS CAN BE DISPLAYED *******",IF('M36 Refs'!AN118&gt;0," ******* COMPLETE ALL VISIBLE QUESTIONS ON THE INTERACTIVE DATA GRADING TAB TO DISPLAY PERFORMANCE INDICATORS *******","")),"")</f>
        <v>******* REPORTING UNITS MUST BE SELECTED ON THE INSTRUCTIONS TAB BEFORE PERFORMANCE INDICATORS CAN BE DISPLAYED *******</v>
      </c>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591"/>
      <c r="BC4" s="109"/>
      <c r="BN4" s="649"/>
      <c r="BO4" s="474"/>
      <c r="BP4" s="474"/>
      <c r="BQ4" s="474"/>
      <c r="BR4" s="474" t="str">
        <f>IFERROR(IF(ISBLANK('Start Page'!$AB$22),"N/A*",IF('Loss Control Planning'!E19=1,"Tier I (0-25)",IF('Loss Control Planning'!H19=1,"Tier II (26-50)",IF('Loss Control Planning'!K19=1,"Tier III (51-70)",IF('Loss Control Planning'!N19=1,"Tier IV (71-90)",IF('Loss Control Planning'!Q19=1,"Tier V (91-100)","")))))),"TBD")</f>
        <v>N/A*</v>
      </c>
      <c r="BS4" s="474"/>
      <c r="BT4" s="474"/>
      <c r="BU4" s="241"/>
      <c r="BV4" s="241"/>
      <c r="BW4" s="241"/>
    </row>
    <row r="5" spans="1:77" ht="15" customHeight="1">
      <c r="A5" s="109"/>
      <c r="B5" s="341"/>
      <c r="C5" s="1175" t="s">
        <v>775</v>
      </c>
      <c r="D5" s="1175"/>
      <c r="E5" s="1175"/>
      <c r="F5" s="1175"/>
      <c r="G5" s="1175"/>
      <c r="H5" s="1175"/>
      <c r="I5" s="1175"/>
      <c r="J5" s="1175"/>
      <c r="K5" s="1175"/>
      <c r="L5" s="1175"/>
      <c r="M5" s="1175"/>
      <c r="N5" s="1175"/>
      <c r="O5" s="1175"/>
      <c r="P5" s="1175"/>
      <c r="Q5" s="1175"/>
      <c r="R5" s="1175"/>
      <c r="S5" s="1175"/>
      <c r="T5" s="1175"/>
      <c r="U5" s="1175"/>
      <c r="V5" s="1175"/>
      <c r="W5" s="725"/>
      <c r="X5" s="892" t="s">
        <v>1284</v>
      </c>
      <c r="Y5" s="725"/>
      <c r="Z5" s="725"/>
      <c r="AA5" s="725"/>
      <c r="AB5" s="725"/>
      <c r="AC5" s="725"/>
      <c r="AD5" s="615" t="s">
        <v>1236</v>
      </c>
      <c r="AE5" s="725"/>
      <c r="AF5" s="725"/>
      <c r="AG5" s="725"/>
      <c r="AH5" s="1181" t="s">
        <v>1153</v>
      </c>
      <c r="AI5" s="1181"/>
      <c r="AJ5" s="1181"/>
      <c r="AK5" s="1181"/>
      <c r="AL5" s="1181"/>
      <c r="AM5" s="1181"/>
      <c r="AN5" s="1181"/>
      <c r="AO5" s="1181"/>
      <c r="AP5" s="1181"/>
      <c r="AQ5" s="1181"/>
      <c r="AR5" s="1181"/>
      <c r="AS5" s="615" t="s">
        <v>1235</v>
      </c>
      <c r="AT5" s="725"/>
      <c r="AU5" s="725"/>
      <c r="AV5" s="725"/>
      <c r="AW5" s="725"/>
      <c r="AX5" s="725"/>
      <c r="AY5" s="725"/>
      <c r="AZ5" s="725"/>
      <c r="BA5" s="725"/>
      <c r="BB5" s="591"/>
      <c r="BC5" s="109"/>
      <c r="BN5" s="649"/>
      <c r="BO5" s="474"/>
      <c r="BP5" s="474"/>
      <c r="BQ5" s="474"/>
      <c r="BR5" s="474"/>
      <c r="BS5" s="474"/>
      <c r="BT5" s="474"/>
      <c r="BU5" s="241"/>
      <c r="BV5" s="241"/>
      <c r="BW5" s="241"/>
    </row>
    <row r="6" spans="1:77" s="244" customFormat="1" ht="12.9" customHeight="1">
      <c r="A6" s="243"/>
      <c r="B6" s="341"/>
      <c r="C6" s="1175"/>
      <c r="D6" s="1175"/>
      <c r="E6" s="1175"/>
      <c r="F6" s="1175"/>
      <c r="G6" s="1175"/>
      <c r="H6" s="1175"/>
      <c r="I6" s="1175"/>
      <c r="J6" s="1175"/>
      <c r="K6" s="1175"/>
      <c r="L6" s="1175"/>
      <c r="M6" s="1175"/>
      <c r="N6" s="1175"/>
      <c r="O6" s="1175"/>
      <c r="P6" s="1175"/>
      <c r="Q6" s="1175"/>
      <c r="R6" s="1175"/>
      <c r="S6" s="1175"/>
      <c r="T6" s="1175"/>
      <c r="U6" s="1175"/>
      <c r="V6" s="1175"/>
      <c r="W6" s="668"/>
      <c r="X6" s="890"/>
      <c r="Y6" s="891" t="s">
        <v>1283</v>
      </c>
      <c r="Z6" s="1177">
        <v>0.73699999999999999</v>
      </c>
      <c r="AA6" s="1177"/>
      <c r="AB6" s="892" t="s">
        <v>1282</v>
      </c>
      <c r="AC6" s="603"/>
      <c r="AD6" s="725"/>
      <c r="AE6" s="725"/>
      <c r="AF6" s="725"/>
      <c r="AG6" s="725"/>
      <c r="AH6" s="1181"/>
      <c r="AI6" s="1181"/>
      <c r="AJ6" s="1181"/>
      <c r="AK6" s="1181"/>
      <c r="AL6" s="1181"/>
      <c r="AM6" s="1181"/>
      <c r="AN6" s="1181"/>
      <c r="AO6" s="1181"/>
      <c r="AP6" s="1181"/>
      <c r="AQ6" s="1181"/>
      <c r="AR6" s="1181"/>
      <c r="AS6" s="725"/>
      <c r="AT6" s="725"/>
      <c r="AU6" s="725"/>
      <c r="AV6" s="725"/>
      <c r="AW6" s="725"/>
      <c r="AX6" s="725"/>
      <c r="AY6" s="725"/>
      <c r="AZ6" s="725"/>
      <c r="BA6" s="725"/>
      <c r="BB6" s="591"/>
      <c r="BC6" s="243"/>
      <c r="BD6" s="245" t="s">
        <v>680</v>
      </c>
      <c r="BM6" s="650"/>
      <c r="BN6" s="651"/>
      <c r="BO6" s="699"/>
      <c r="BP6" s="699"/>
      <c r="BQ6" s="699"/>
      <c r="BR6" s="699" t="str">
        <f>IFERROR(IF(ISBLANK('Start Page'!$AB$22),"N/A*",IF('M36 Refs'!AN118&gt;0,"",ROUND('M36 Refs'!AH118,0))),"")</f>
        <v>N/A*</v>
      </c>
      <c r="BS6" s="700"/>
      <c r="BT6" s="699"/>
      <c r="BU6" s="701"/>
      <c r="BV6" s="701"/>
      <c r="BW6" s="701"/>
      <c r="BX6" s="58"/>
      <c r="BY6" s="58"/>
    </row>
    <row r="7" spans="1:77" s="244" customFormat="1" ht="12.9" customHeight="1">
      <c r="A7" s="243"/>
      <c r="B7" s="335"/>
      <c r="C7" s="58"/>
      <c r="D7" s="247"/>
      <c r="E7" s="841"/>
      <c r="F7" s="247"/>
      <c r="G7" s="247"/>
      <c r="H7" s="668"/>
      <c r="I7" s="781" t="s">
        <v>233</v>
      </c>
      <c r="J7" s="1190" t="str">
        <f>BR6</f>
        <v>N/A*</v>
      </c>
      <c r="K7" s="1190"/>
      <c r="L7" s="782"/>
      <c r="M7" s="782"/>
      <c r="N7" s="782"/>
      <c r="O7" s="782"/>
      <c r="P7" s="782"/>
      <c r="Q7" s="781" t="s">
        <v>675</v>
      </c>
      <c r="R7" s="1182" t="str">
        <f>IF(BO2&gt;0,"",BR4)</f>
        <v/>
      </c>
      <c r="S7" s="1182"/>
      <c r="T7" s="1182"/>
      <c r="U7" s="1182"/>
      <c r="V7" s="1182"/>
      <c r="W7" s="668"/>
      <c r="X7" s="894" t="s">
        <v>1230</v>
      </c>
      <c r="AD7" s="603"/>
      <c r="AE7" s="849"/>
      <c r="AF7" s="849"/>
      <c r="AG7" s="849"/>
      <c r="AH7" s="1176" t="s">
        <v>1179</v>
      </c>
      <c r="AI7" s="1176"/>
      <c r="AJ7" s="1176"/>
      <c r="AK7" s="1176"/>
      <c r="AL7" s="1176"/>
      <c r="AM7" s="1176"/>
      <c r="AN7" s="1176"/>
      <c r="AO7" s="1176"/>
      <c r="AP7" s="1176"/>
      <c r="AQ7" s="1176"/>
      <c r="AR7" s="1176"/>
      <c r="AS7" s="849"/>
      <c r="AT7" s="849"/>
      <c r="AU7" s="849"/>
      <c r="AV7" s="849"/>
      <c r="AW7" s="849"/>
      <c r="AX7" s="849"/>
      <c r="AY7" s="849"/>
      <c r="AZ7" s="849"/>
      <c r="BA7" s="849"/>
      <c r="BB7" s="591"/>
      <c r="BC7" s="243"/>
      <c r="BD7" s="244" t="str">
        <f>IF('Start Page'!$AB$22="million gallons (US)","MG/Yr",IF('Start Page'!$AB$22="Megalitres (thousand cubic metres)","ML/Yr",IF('Start Page'!$AB$22="acre-feet","Acre-ft/Yr","")))</f>
        <v/>
      </c>
      <c r="BM7" s="650"/>
      <c r="BN7" s="651"/>
      <c r="BO7" s="702" t="s">
        <v>766</v>
      </c>
      <c r="BP7" s="702"/>
      <c r="BQ7" s="702"/>
      <c r="BR7" s="702" t="s">
        <v>772</v>
      </c>
      <c r="BS7" s="699"/>
      <c r="BT7" s="699"/>
      <c r="BU7" s="701"/>
      <c r="BV7" s="701"/>
      <c r="BW7" s="701"/>
      <c r="BX7" s="58"/>
      <c r="BY7" s="58"/>
    </row>
    <row r="8" spans="1:77" ht="12.9" customHeight="1">
      <c r="A8" s="109"/>
      <c r="B8" s="335"/>
      <c r="C8" s="603"/>
      <c r="D8" s="603"/>
      <c r="E8" s="842"/>
      <c r="F8" s="603"/>
      <c r="G8" s="603"/>
      <c r="H8" s="1180" t="s">
        <v>1086</v>
      </c>
      <c r="I8" s="1180"/>
      <c r="J8" s="1178" t="s">
        <v>940</v>
      </c>
      <c r="K8" s="1178"/>
      <c r="L8" s="1178"/>
      <c r="M8" s="1178"/>
      <c r="N8" s="1178"/>
      <c r="O8" s="1178"/>
      <c r="P8" s="1179" t="s">
        <v>1085</v>
      </c>
      <c r="Q8" s="1179"/>
      <c r="R8" s="1179"/>
      <c r="S8" s="1179"/>
      <c r="T8" s="603"/>
      <c r="U8" s="603"/>
      <c r="V8" s="247"/>
      <c r="W8" s="247"/>
      <c r="X8" s="58"/>
      <c r="Y8" s="849"/>
      <c r="Z8" s="849"/>
      <c r="AA8" s="849"/>
      <c r="AB8" s="603"/>
      <c r="AC8" s="603"/>
      <c r="AD8" s="603"/>
      <c r="AE8" s="849"/>
      <c r="AF8" s="849"/>
      <c r="AG8" s="849"/>
      <c r="AH8" s="1176"/>
      <c r="AI8" s="1176"/>
      <c r="AJ8" s="1176"/>
      <c r="AK8" s="1176"/>
      <c r="AL8" s="1176"/>
      <c r="AM8" s="1176"/>
      <c r="AN8" s="1176"/>
      <c r="AO8" s="1176"/>
      <c r="AP8" s="1176"/>
      <c r="AQ8" s="1176"/>
      <c r="AR8" s="1176"/>
      <c r="AS8" s="849"/>
      <c r="AT8" s="849"/>
      <c r="AU8" s="849"/>
      <c r="AV8" s="849"/>
      <c r="AW8" s="849"/>
      <c r="AX8" s="849"/>
      <c r="AY8" s="849"/>
      <c r="AZ8" s="849"/>
      <c r="BA8" s="849"/>
      <c r="BB8" s="342"/>
      <c r="BC8" s="109"/>
      <c r="BD8" s="58" t="str">
        <f>IF(BD29=FALSE,"Variable Production Cost","Customer Retail Unit Cost")</f>
        <v>Variable Production Cost</v>
      </c>
      <c r="BN8" s="649"/>
      <c r="BO8" s="474"/>
      <c r="BP8" s="474">
        <f>SUM(BP9:BP13)</f>
        <v>100</v>
      </c>
      <c r="BQ8" s="474"/>
      <c r="BR8" s="474" t="s">
        <v>679</v>
      </c>
      <c r="BS8" s="474" t="str">
        <f>BR6</f>
        <v>N/A*</v>
      </c>
      <c r="BT8" s="474"/>
      <c r="BU8" s="241"/>
      <c r="BV8" s="241"/>
      <c r="BW8" s="241"/>
    </row>
    <row r="9" spans="1:77" ht="12.9" customHeight="1">
      <c r="A9" s="109"/>
      <c r="B9" s="335"/>
      <c r="C9" s="603"/>
      <c r="D9" s="603"/>
      <c r="E9" s="842"/>
      <c r="F9" s="603"/>
      <c r="G9" s="603"/>
      <c r="H9" s="1180"/>
      <c r="I9" s="1180"/>
      <c r="J9" s="1178"/>
      <c r="K9" s="1178"/>
      <c r="L9" s="1178"/>
      <c r="M9" s="1178"/>
      <c r="N9" s="1178"/>
      <c r="O9" s="1178"/>
      <c r="P9" s="1179"/>
      <c r="Q9" s="1179"/>
      <c r="R9" s="1179"/>
      <c r="S9" s="1179"/>
      <c r="T9" s="603"/>
      <c r="U9" s="603"/>
      <c r="V9" s="656"/>
      <c r="W9" s="247"/>
      <c r="X9" s="668"/>
      <c r="Y9" s="668"/>
      <c r="Z9" s="668"/>
      <c r="AA9" s="668"/>
      <c r="AB9" s="668"/>
      <c r="AC9" s="668"/>
      <c r="AD9" s="668"/>
      <c r="AE9" s="668"/>
      <c r="AF9" s="668"/>
      <c r="AG9" s="668"/>
      <c r="AH9" s="668"/>
      <c r="AI9" s="668"/>
      <c r="AJ9" s="247"/>
      <c r="AK9" s="668"/>
      <c r="AL9" s="668"/>
      <c r="AM9" s="668"/>
      <c r="AN9" s="668"/>
      <c r="AO9" s="668"/>
      <c r="AP9" s="668"/>
      <c r="AQ9" s="668"/>
      <c r="AR9" s="668"/>
      <c r="AS9" s="668"/>
      <c r="AT9" s="668"/>
      <c r="AU9" s="668"/>
      <c r="AV9" s="668"/>
      <c r="AW9" s="668"/>
      <c r="AX9" s="668"/>
      <c r="AY9" s="668"/>
      <c r="AZ9" s="668"/>
      <c r="BA9" s="668"/>
      <c r="BB9" s="342"/>
      <c r="BC9" s="109"/>
      <c r="BD9" s="225" t="str">
        <f>IF(BD29=FALSE,"VPC","CRUC")</f>
        <v>VPC</v>
      </c>
      <c r="BN9" s="652"/>
      <c r="BO9" s="474" t="s">
        <v>770</v>
      </c>
      <c r="BP9" s="474">
        <v>25</v>
      </c>
      <c r="BQ9" s="474"/>
      <c r="BR9" s="474" t="s">
        <v>772</v>
      </c>
      <c r="BS9" s="710">
        <f>SUM(BP8:BP12)/150</f>
        <v>1.2666666666666666</v>
      </c>
      <c r="BT9" s="474"/>
      <c r="BU9" s="241"/>
      <c r="BV9" s="241"/>
      <c r="BW9" s="241"/>
    </row>
    <row r="10" spans="1:77" ht="12.9" customHeight="1">
      <c r="A10" s="109"/>
      <c r="B10" s="335"/>
      <c r="C10" s="656"/>
      <c r="D10" s="656"/>
      <c r="E10" s="58"/>
      <c r="F10" s="58"/>
      <c r="G10" s="58"/>
      <c r="H10" s="656"/>
      <c r="I10" s="918" t="s">
        <v>257</v>
      </c>
      <c r="J10" s="656"/>
      <c r="K10" s="656"/>
      <c r="L10" s="656"/>
      <c r="M10" s="656"/>
      <c r="N10" s="656"/>
      <c r="O10" s="916" t="s">
        <v>258</v>
      </c>
      <c r="P10" s="656"/>
      <c r="Q10" s="656"/>
      <c r="R10" s="656"/>
      <c r="S10" s="656"/>
      <c r="T10" s="656"/>
      <c r="U10" s="656"/>
      <c r="V10" s="65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
      </c>
      <c r="BN10" s="652"/>
      <c r="BO10" s="474" t="s">
        <v>771</v>
      </c>
      <c r="BP10" s="474">
        <v>25</v>
      </c>
      <c r="BQ10" s="474"/>
      <c r="BR10" s="474" t="s">
        <v>773</v>
      </c>
      <c r="BS10" s="474">
        <f>SUM(BP8:BP13)-SUM(BS8:BS9)</f>
        <v>198.73333333333332</v>
      </c>
      <c r="BT10" s="474"/>
      <c r="BU10" s="241"/>
      <c r="BV10" s="241"/>
      <c r="BW10" s="241"/>
    </row>
    <row r="11" spans="1:77" ht="12.9" customHeight="1">
      <c r="A11" s="109"/>
      <c r="B11" s="335"/>
      <c r="C11" s="58"/>
      <c r="D11" s="247"/>
      <c r="E11" s="84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09"/>
      <c r="AG11" s="609"/>
      <c r="AH11" s="609"/>
      <c r="AI11" s="609"/>
      <c r="AJ11" s="609"/>
      <c r="AK11" s="609"/>
      <c r="AL11" s="609"/>
      <c r="AM11" s="609"/>
      <c r="AN11" s="609"/>
      <c r="AO11" s="609"/>
      <c r="AP11" s="609"/>
      <c r="AQ11" s="609"/>
      <c r="AR11" s="609"/>
      <c r="AS11" s="609"/>
      <c r="AT11" s="609"/>
      <c r="AU11" s="609"/>
      <c r="AV11" s="609"/>
      <c r="AW11" s="609"/>
      <c r="AX11" s="609"/>
      <c r="AY11" s="247"/>
      <c r="AZ11" s="247"/>
      <c r="BA11" s="247"/>
      <c r="BB11" s="342"/>
      <c r="BC11" s="109"/>
      <c r="BD11" s="58" t="str">
        <f>IF(ISBLANK('Start Page'!$AB$22),"",IF('Start Page'!$AB$22="Megalitres (thousand cubic metres)","litres/km","gal/mile")&amp;"/day")</f>
        <v/>
      </c>
      <c r="BN11" s="652"/>
      <c r="BO11" s="474" t="s">
        <v>767</v>
      </c>
      <c r="BP11" s="474">
        <v>20</v>
      </c>
      <c r="BQ11" s="474"/>
      <c r="BR11" s="474"/>
      <c r="BS11" s="474"/>
      <c r="BT11" s="474"/>
      <c r="BU11" s="732" t="s">
        <v>1192</v>
      </c>
      <c r="BV11" s="720"/>
      <c r="BW11" s="720"/>
      <c r="BX11" s="720"/>
    </row>
    <row r="12" spans="1:77" ht="12.9" customHeight="1">
      <c r="A12" s="109"/>
      <c r="B12" s="335"/>
      <c r="C12" s="58"/>
      <c r="D12" s="247"/>
      <c r="E12" s="84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69"/>
      <c r="AG12" s="609"/>
      <c r="AH12" s="670"/>
      <c r="AI12" s="670"/>
      <c r="AJ12" s="247"/>
      <c r="AK12" s="247"/>
      <c r="AL12" s="247"/>
      <c r="AM12" s="247"/>
      <c r="AN12" s="247"/>
      <c r="AO12" s="247"/>
      <c r="AP12" s="247"/>
      <c r="AQ12" s="247"/>
      <c r="AR12" s="247"/>
      <c r="AS12" s="247"/>
      <c r="AT12" s="247"/>
      <c r="AU12" s="247"/>
      <c r="AV12" s="668"/>
      <c r="AW12" s="668"/>
      <c r="AX12" s="247"/>
      <c r="AY12" s="247"/>
      <c r="AZ12" s="247"/>
      <c r="BA12" s="247"/>
      <c r="BB12" s="342"/>
      <c r="BC12" s="109"/>
      <c r="BD12" s="58" t="str">
        <f>IF(ISBLANK('Start Page'!$AB$22),"",IF('Start Page'!$AB$22="Megalitres (thousand cubic metres)","litres/conn/day/m","gal/conn/day/psi"))</f>
        <v/>
      </c>
      <c r="BN12" s="652"/>
      <c r="BO12" s="474" t="s">
        <v>768</v>
      </c>
      <c r="BP12" s="474">
        <v>20</v>
      </c>
      <c r="BQ12" s="474"/>
      <c r="BR12" s="474"/>
      <c r="BS12" s="474"/>
      <c r="BT12" s="474"/>
      <c r="BU12" s="703" t="s">
        <v>1023</v>
      </c>
      <c r="BV12" s="703"/>
      <c r="BW12" s="703"/>
    </row>
    <row r="13" spans="1:77" ht="15" customHeight="1">
      <c r="A13" s="109"/>
      <c r="B13" s="335"/>
      <c r="C13" s="58"/>
      <c r="D13" s="247"/>
      <c r="E13" s="841"/>
      <c r="F13" s="247"/>
      <c r="G13" s="247"/>
      <c r="H13" s="247"/>
      <c r="I13" s="247"/>
      <c r="J13" s="247"/>
      <c r="K13" s="247"/>
      <c r="L13" s="247"/>
      <c r="M13" s="247"/>
      <c r="N13" s="247"/>
      <c r="O13" s="247"/>
      <c r="P13" s="247"/>
      <c r="Q13" s="247"/>
      <c r="R13" s="916" t="s">
        <v>259</v>
      </c>
      <c r="S13" s="247"/>
      <c r="T13" s="247"/>
      <c r="U13" s="247"/>
      <c r="V13" s="247"/>
      <c r="W13" s="247"/>
      <c r="X13" s="247"/>
      <c r="Y13" s="247"/>
      <c r="Z13" s="247"/>
      <c r="AA13" s="247"/>
      <c r="AB13" s="247"/>
      <c r="AC13" s="247"/>
      <c r="AD13" s="247"/>
      <c r="AE13" s="247"/>
      <c r="AF13" s="671"/>
      <c r="AG13" s="671"/>
      <c r="AH13" s="671"/>
      <c r="AI13" s="671"/>
      <c r="AJ13" s="671"/>
      <c r="AK13" s="671"/>
      <c r="AL13" s="671"/>
      <c r="AM13" s="671"/>
      <c r="AN13" s="671"/>
      <c r="AO13" s="671"/>
      <c r="AP13" s="671"/>
      <c r="AQ13" s="671"/>
      <c r="AR13" s="671"/>
      <c r="AS13" s="671"/>
      <c r="AT13" s="671"/>
      <c r="AU13" s="671"/>
      <c r="AV13" s="668"/>
      <c r="AW13" s="668"/>
      <c r="AX13" s="247"/>
      <c r="AY13" s="247"/>
      <c r="AZ13" s="247"/>
      <c r="BA13" s="247"/>
      <c r="BB13" s="342"/>
      <c r="BC13" s="109"/>
      <c r="BD13" s="58" t="s">
        <v>1190</v>
      </c>
      <c r="BN13" s="652"/>
      <c r="BO13" s="474" t="s">
        <v>769</v>
      </c>
      <c r="BP13" s="474">
        <v>10</v>
      </c>
      <c r="BQ13" s="474"/>
      <c r="BR13" s="474"/>
      <c r="BS13" s="474"/>
      <c r="BT13" s="474"/>
      <c r="BU13" s="703" t="s">
        <v>1024</v>
      </c>
      <c r="BV13" s="703"/>
      <c r="BW13" s="703"/>
    </row>
    <row r="14" spans="1:77" ht="15" customHeight="1">
      <c r="A14" s="109"/>
      <c r="B14" s="335"/>
      <c r="C14" s="58"/>
      <c r="D14" s="247"/>
      <c r="E14" s="841"/>
      <c r="F14" s="247"/>
      <c r="G14" s="247"/>
      <c r="H14" s="247"/>
      <c r="I14" s="1189"/>
      <c r="J14" s="1189"/>
      <c r="K14" s="1189"/>
      <c r="L14" s="1189"/>
      <c r="M14" s="1189"/>
      <c r="N14" s="1189"/>
      <c r="O14" s="1189"/>
      <c r="P14" s="247"/>
      <c r="Q14" s="247"/>
      <c r="R14" s="247"/>
      <c r="S14" s="247"/>
      <c r="T14" s="247"/>
      <c r="U14" s="247"/>
      <c r="V14" s="247"/>
      <c r="W14" s="247"/>
      <c r="X14" s="247"/>
      <c r="Y14" s="247"/>
      <c r="Z14" s="247"/>
      <c r="AA14" s="247"/>
      <c r="AB14" s="1169" t="str">
        <f>IF(BS15&lt;0,"negative result check inputs",IF($BS$16=0,"result is below 10th %ile",IF($BS$15&gt;$BS$16,"result is above 90th %ile","")))</f>
        <v/>
      </c>
      <c r="AC14" s="1169"/>
      <c r="AD14" s="1169"/>
      <c r="AE14" s="1169"/>
      <c r="AF14" s="672"/>
      <c r="AG14" s="609"/>
      <c r="AH14" s="670"/>
      <c r="AI14" s="670"/>
      <c r="AJ14" s="247"/>
      <c r="AK14" s="247"/>
      <c r="AL14" s="1169" t="str">
        <f>IF(BS22&lt;0,"negative result check inputs",IF($BS$23=0,"result is below 10th %ile",IF($BS$22&gt;$BS$23,"result is above 90th %ile","")))</f>
        <v/>
      </c>
      <c r="AM14" s="1169"/>
      <c r="AN14" s="1169"/>
      <c r="AO14" s="1169"/>
      <c r="AP14" s="247"/>
      <c r="AQ14" s="247"/>
      <c r="AR14" s="247"/>
      <c r="AS14" s="247"/>
      <c r="AT14" s="247"/>
      <c r="AU14" s="247"/>
      <c r="AV14" s="1169" t="str">
        <f>IF(BS29&lt;0,"negative result check inputs",IF($BS$30=0,"result is below 10th %ile",IF($BS$29&gt;$BS$30,"result is above 90th %ile","")))</f>
        <v/>
      </c>
      <c r="AW14" s="1169"/>
      <c r="AX14" s="1169"/>
      <c r="AY14" s="1169"/>
      <c r="AZ14" s="247"/>
      <c r="BA14" s="247"/>
      <c r="BB14" s="342"/>
      <c r="BC14" s="109"/>
      <c r="BN14" s="652"/>
      <c r="BO14" s="474"/>
      <c r="BP14" s="726" t="s">
        <v>1032</v>
      </c>
      <c r="BQ14" s="727" t="s">
        <v>1035</v>
      </c>
      <c r="BR14" s="474"/>
      <c r="BS14" s="474"/>
      <c r="BT14" s="474"/>
      <c r="BU14" s="704" t="s">
        <v>700</v>
      </c>
      <c r="BV14" s="704" t="s">
        <v>701</v>
      </c>
      <c r="BW14" s="704" t="s">
        <v>702</v>
      </c>
    </row>
    <row r="15" spans="1:77" ht="15" customHeight="1">
      <c r="A15" s="109"/>
      <c r="B15" s="335"/>
      <c r="C15" s="58"/>
      <c r="D15" s="58"/>
      <c r="E15" s="841"/>
      <c r="F15" s="917" t="s">
        <v>1238</v>
      </c>
      <c r="G15" s="247"/>
      <c r="H15" s="247"/>
      <c r="I15" s="1189"/>
      <c r="J15" s="1189"/>
      <c r="K15" s="1189"/>
      <c r="L15" s="1189"/>
      <c r="M15" s="1189"/>
      <c r="N15" s="1189"/>
      <c r="O15" s="1189"/>
      <c r="P15" s="247"/>
      <c r="Q15" s="247"/>
      <c r="R15" s="247"/>
      <c r="S15" s="247"/>
      <c r="T15" s="247"/>
      <c r="U15" s="247"/>
      <c r="V15" s="247"/>
      <c r="W15" s="247"/>
      <c r="X15" s="247"/>
      <c r="Y15" s="247"/>
      <c r="Z15" s="247"/>
      <c r="AA15" s="247"/>
      <c r="AB15" s="1169"/>
      <c r="AC15" s="1169"/>
      <c r="AD15" s="1169"/>
      <c r="AE15" s="1169"/>
      <c r="AF15" s="609"/>
      <c r="AG15" s="609"/>
      <c r="AH15" s="247"/>
      <c r="AI15" s="247"/>
      <c r="AJ15" s="247"/>
      <c r="AK15" s="247"/>
      <c r="AL15" s="1169"/>
      <c r="AM15" s="1169"/>
      <c r="AN15" s="1169"/>
      <c r="AO15" s="1169"/>
      <c r="AP15" s="247"/>
      <c r="AQ15" s="247"/>
      <c r="AR15" s="247"/>
      <c r="AS15" s="247"/>
      <c r="AT15" s="247"/>
      <c r="AU15" s="673"/>
      <c r="AV15" s="1169"/>
      <c r="AW15" s="1169"/>
      <c r="AX15" s="1169"/>
      <c r="AY15" s="1169"/>
      <c r="AZ15" s="247"/>
      <c r="BA15" s="247"/>
      <c r="BB15" s="342"/>
      <c r="BC15" s="109"/>
      <c r="BN15" s="652"/>
      <c r="BO15" s="705" t="s">
        <v>1014</v>
      </c>
      <c r="BP15" s="705"/>
      <c r="BR15" s="694" t="s">
        <v>1039</v>
      </c>
      <c r="BS15" s="721" t="str">
        <f>IF($BO$2&gt;0,"",IFERROR(SUM(N49:N50)/Worksheet!H62,""))</f>
        <v/>
      </c>
      <c r="BT15" s="706"/>
      <c r="BU15" s="793" t="s">
        <v>1035</v>
      </c>
      <c r="BV15" s="707"/>
      <c r="BW15" s="707"/>
      <c r="BX15" s="654"/>
    </row>
    <row r="16" spans="1:77" ht="15" customHeight="1">
      <c r="A16" s="109"/>
      <c r="B16" s="335"/>
      <c r="C16" s="58"/>
      <c r="D16" s="247"/>
      <c r="E16" s="841"/>
      <c r="F16" s="247"/>
      <c r="G16" s="247"/>
      <c r="H16" s="247"/>
      <c r="I16" s="1189"/>
      <c r="J16" s="1189"/>
      <c r="K16" s="1189"/>
      <c r="L16" s="1189"/>
      <c r="M16" s="1189"/>
      <c r="N16" s="1189"/>
      <c r="O16" s="1189"/>
      <c r="P16" s="247"/>
      <c r="Q16" s="247"/>
      <c r="R16" s="247"/>
      <c r="S16" s="916" t="s">
        <v>260</v>
      </c>
      <c r="T16" s="247"/>
      <c r="U16" s="247"/>
      <c r="V16" s="247"/>
      <c r="W16" s="247"/>
      <c r="X16" s="247"/>
      <c r="Y16" s="247"/>
      <c r="Z16" s="247"/>
      <c r="AA16" s="247"/>
      <c r="AB16" s="247"/>
      <c r="AC16" s="247"/>
      <c r="AD16" s="247"/>
      <c r="AE16" s="247"/>
      <c r="AF16" s="609"/>
      <c r="AG16" s="609"/>
      <c r="AH16" s="247"/>
      <c r="AI16" s="247"/>
      <c r="AJ16" s="247"/>
      <c r="AK16" s="247"/>
      <c r="AL16" s="247"/>
      <c r="AM16" s="247"/>
      <c r="AN16" s="247"/>
      <c r="AO16" s="247"/>
      <c r="AP16" s="247"/>
      <c r="AQ16" s="247"/>
      <c r="AR16" s="247"/>
      <c r="AS16" s="247"/>
      <c r="AT16" s="247"/>
      <c r="AU16" s="673"/>
      <c r="AV16" s="673"/>
      <c r="AW16" s="674"/>
      <c r="AX16" s="247"/>
      <c r="AY16" s="247"/>
      <c r="AZ16" s="247"/>
      <c r="BA16" s="247"/>
      <c r="BB16" s="342"/>
      <c r="BC16" s="109"/>
      <c r="BN16" s="724" t="s">
        <v>1034</v>
      </c>
      <c r="BO16" s="706" t="s">
        <v>1033</v>
      </c>
      <c r="BP16" s="708">
        <f>SUM(BP17:BP20)</f>
        <v>57.801400497346833</v>
      </c>
      <c r="BQ16" s="889">
        <f>IF($BD$7="ML/Yr",BW16,BU16)</f>
        <v>5.075047838800522</v>
      </c>
      <c r="BR16" s="694" t="s">
        <v>1038</v>
      </c>
      <c r="BS16" s="729" t="str">
        <f>IF(BS15="","",IF(BS15&lt;BQ16,0,IF(BS15&gt;BQ20,BQ20,BS15)))</f>
        <v/>
      </c>
      <c r="BT16" s="706" t="s">
        <v>1033</v>
      </c>
      <c r="BU16" s="720">
        <v>5.075047838800522</v>
      </c>
      <c r="BV16" s="709"/>
      <c r="BW16" s="893">
        <f>IF($Z$6="",BU16/0.737,BU16/$Z$6)</f>
        <v>6.8860893335149553</v>
      </c>
      <c r="BX16" s="654"/>
    </row>
    <row r="17" spans="1:78" ht="15" customHeight="1">
      <c r="A17" s="109"/>
      <c r="B17" s="790"/>
      <c r="C17" s="791"/>
      <c r="D17" s="247"/>
      <c r="E17" s="841"/>
      <c r="F17" s="247"/>
      <c r="G17" s="247"/>
      <c r="H17" s="247"/>
      <c r="I17" s="1189"/>
      <c r="J17" s="1189"/>
      <c r="K17" s="1189"/>
      <c r="L17" s="1189"/>
      <c r="M17" s="1189"/>
      <c r="N17" s="1189"/>
      <c r="O17" s="1189"/>
      <c r="P17" s="247"/>
      <c r="Q17" s="247"/>
      <c r="R17" s="247"/>
      <c r="S17" s="247"/>
      <c r="T17" s="247"/>
      <c r="U17" s="247"/>
      <c r="V17" s="247"/>
      <c r="W17" s="247"/>
      <c r="X17" s="247"/>
      <c r="Y17" s="247"/>
      <c r="Z17" s="247"/>
      <c r="AA17" s="247"/>
      <c r="AB17" s="673"/>
      <c r="AC17" s="783" t="s">
        <v>1014</v>
      </c>
      <c r="AD17" s="247"/>
      <c r="AE17" s="783"/>
      <c r="AF17" s="783"/>
      <c r="AG17" s="784"/>
      <c r="AH17" s="776"/>
      <c r="AI17" s="776"/>
      <c r="AJ17" s="783"/>
      <c r="AK17" s="783"/>
      <c r="AL17" s="783"/>
      <c r="AM17" s="783" t="s">
        <v>1015</v>
      </c>
      <c r="AN17" s="247"/>
      <c r="AO17" s="783"/>
      <c r="AP17" s="783"/>
      <c r="AQ17" s="783"/>
      <c r="AR17" s="783"/>
      <c r="AS17" s="783"/>
      <c r="AT17" s="783"/>
      <c r="AU17" s="783"/>
      <c r="AV17" s="783"/>
      <c r="AW17" s="783" t="s">
        <v>1016</v>
      </c>
      <c r="AX17" s="58"/>
      <c r="AY17" s="692"/>
      <c r="AZ17" s="692"/>
      <c r="BA17" s="247"/>
      <c r="BB17" s="342"/>
      <c r="BC17" s="109"/>
      <c r="BE17" s="58" t="s">
        <v>703</v>
      </c>
      <c r="BF17" s="58" t="s">
        <v>704</v>
      </c>
      <c r="BN17" s="649"/>
      <c r="BO17" s="706" t="s">
        <v>1011</v>
      </c>
      <c r="BP17" s="708">
        <f>BQ17</f>
        <v>9.3314489693766607</v>
      </c>
      <c r="BQ17" s="889">
        <f t="shared" ref="BQ17:BQ20" si="0">IF($BD$7="ML/Yr",BW17,BU17)</f>
        <v>9.3314489693766607</v>
      </c>
      <c r="BR17" s="706" t="s">
        <v>1037</v>
      </c>
      <c r="BS17" s="710">
        <f>SUM(BP16:BP20)/125</f>
        <v>0.92482240795754933</v>
      </c>
      <c r="BT17" s="706" t="s">
        <v>1011</v>
      </c>
      <c r="BU17" s="720">
        <v>9.3314489693766607</v>
      </c>
      <c r="BV17" s="709"/>
      <c r="BW17" s="893">
        <f>IF($Z$6="",BU17/0.737,BU17/$Z$6)</f>
        <v>12.66139615926277</v>
      </c>
      <c r="BX17" s="58" t="s">
        <v>1020</v>
      </c>
      <c r="BY17" s="706"/>
      <c r="BZ17" s="710"/>
    </row>
    <row r="18" spans="1:78" ht="15" customHeight="1">
      <c r="A18" s="109"/>
      <c r="B18" s="335"/>
      <c r="C18" s="58"/>
      <c r="D18" s="247"/>
      <c r="E18" s="841"/>
      <c r="F18" s="247"/>
      <c r="G18" s="247"/>
      <c r="H18" s="247"/>
      <c r="I18" s="247"/>
      <c r="J18" s="247"/>
      <c r="K18" s="247"/>
      <c r="L18" s="247"/>
      <c r="M18" s="247"/>
      <c r="N18" s="247"/>
      <c r="O18" s="247"/>
      <c r="P18" s="247"/>
      <c r="Q18" s="247"/>
      <c r="R18" s="247"/>
      <c r="S18" s="247"/>
      <c r="T18" s="247"/>
      <c r="U18" s="247"/>
      <c r="V18" s="247"/>
      <c r="W18" s="247"/>
      <c r="X18" s="247"/>
      <c r="Y18" s="247"/>
      <c r="Z18" s="247"/>
      <c r="AA18" s="1168" t="str">
        <f>BS15</f>
        <v/>
      </c>
      <c r="AB18" s="1168"/>
      <c r="AC18" s="1168"/>
      <c r="AD18" s="860" t="str">
        <f>BD13</f>
        <v>$/conn/year</v>
      </c>
      <c r="AE18" s="861"/>
      <c r="AF18" s="862"/>
      <c r="AG18" s="862"/>
      <c r="AH18" s="863"/>
      <c r="AI18" s="863"/>
      <c r="AJ18" s="861"/>
      <c r="AK18" s="1168" t="str">
        <f>BS22</f>
        <v/>
      </c>
      <c r="AL18" s="1168"/>
      <c r="AM18" s="1168"/>
      <c r="AN18" s="860" t="str">
        <f>BD13</f>
        <v>$/conn/year</v>
      </c>
      <c r="AO18" s="861"/>
      <c r="AP18" s="861"/>
      <c r="AQ18" s="861"/>
      <c r="AR18" s="861"/>
      <c r="AS18" s="861"/>
      <c r="AT18" s="861"/>
      <c r="AU18" s="1168" t="str">
        <f>BS29</f>
        <v/>
      </c>
      <c r="AV18" s="1168"/>
      <c r="AW18" s="1168"/>
      <c r="AX18" s="860" t="str">
        <f>BD13</f>
        <v>$/conn/year</v>
      </c>
      <c r="AY18" s="691"/>
      <c r="AZ18" s="247"/>
      <c r="BA18" s="247"/>
      <c r="BB18" s="342"/>
      <c r="BC18" s="109"/>
      <c r="BD18" s="58" t="s">
        <v>700</v>
      </c>
      <c r="BE18" s="234">
        <f>(((5.41*Worksheet!H61)+(0.15*Worksheet!H62)+(7.5*(Worksheet!H62*Worksheet!W67/5280)))*Worksheet!H68)/1000000*365</f>
        <v>0</v>
      </c>
      <c r="BN18" s="649"/>
      <c r="BO18" s="706" t="s">
        <v>1031</v>
      </c>
      <c r="BP18" s="708">
        <f>BQ18-BQ17</f>
        <v>8.9525318444022357</v>
      </c>
      <c r="BQ18" s="889">
        <f t="shared" si="0"/>
        <v>18.283980813778896</v>
      </c>
      <c r="BR18" s="706" t="s">
        <v>773</v>
      </c>
      <c r="BS18" s="710">
        <f>SUM(BP16:BP20)-SUM(BS16,BS17)</f>
        <v>114.67797858673612</v>
      </c>
      <c r="BT18" s="706" t="s">
        <v>1031</v>
      </c>
      <c r="BU18" s="720">
        <v>18.283980813778896</v>
      </c>
      <c r="BV18" s="709"/>
      <c r="BW18" s="893">
        <f>IF($Z$6="",BU18/0.737,BU18/$Z$6)</f>
        <v>24.808657820595517</v>
      </c>
      <c r="BX18" s="58" t="s">
        <v>1191</v>
      </c>
      <c r="BY18" s="706"/>
      <c r="BZ18" s="710"/>
    </row>
    <row r="19" spans="1:78" ht="15" customHeight="1">
      <c r="A19" s="109"/>
      <c r="B19" s="335"/>
      <c r="C19" s="58"/>
      <c r="D19" s="247"/>
      <c r="E19" s="841"/>
      <c r="F19" s="247"/>
      <c r="G19" s="247"/>
      <c r="H19" s="247"/>
      <c r="I19" s="247"/>
      <c r="J19" s="247"/>
      <c r="K19" s="247"/>
      <c r="L19" s="792" t="s">
        <v>950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701</v>
      </c>
      <c r="BE19" s="234">
        <f>BE18*1000000/325851.427242</f>
        <v>0</v>
      </c>
      <c r="BF19" s="233" t="e">
        <f>BE19*325851.427242/Worksheet!H62/365</f>
        <v>#DIV/0!</v>
      </c>
      <c r="BG19" s="58" t="str">
        <f>IF(BD7="Acre-ft/yr",1,"")</f>
        <v/>
      </c>
      <c r="BJ19" s="241"/>
      <c r="BN19" s="649"/>
      <c r="BO19" s="706" t="s">
        <v>1012</v>
      </c>
      <c r="BP19" s="708">
        <f>BQ19-BQ18</f>
        <v>13.300705385813597</v>
      </c>
      <c r="BQ19" s="889">
        <f t="shared" si="0"/>
        <v>31.584686199592493</v>
      </c>
      <c r="BR19" s="706"/>
      <c r="BS19" s="706"/>
      <c r="BT19" s="706" t="s">
        <v>1012</v>
      </c>
      <c r="BU19" s="720">
        <v>31.584686199592493</v>
      </c>
      <c r="BV19" s="709"/>
      <c r="BW19" s="893">
        <f>IF($Z$6="",BU19/0.737,BU19/$Z$6)</f>
        <v>42.855747896326314</v>
      </c>
    </row>
    <row r="20" spans="1:78" ht="15" customHeight="1">
      <c r="A20" s="109"/>
      <c r="B20" s="335"/>
      <c r="C20" s="158"/>
      <c r="D20" s="158"/>
      <c r="E20" s="841"/>
      <c r="F20" s="158"/>
      <c r="G20" s="158"/>
      <c r="H20" s="158"/>
      <c r="I20" s="158"/>
      <c r="J20" s="158"/>
      <c r="K20" s="158"/>
      <c r="L20" s="58"/>
      <c r="M20" s="158"/>
      <c r="N20" s="158"/>
      <c r="O20" s="158"/>
      <c r="P20" s="158"/>
      <c r="Q20" s="158"/>
      <c r="R20" s="158"/>
      <c r="S20" s="158"/>
      <c r="T20" s="158"/>
      <c r="U20" s="158"/>
      <c r="V20" s="158"/>
      <c r="W20" s="247"/>
      <c r="X20" s="247"/>
      <c r="Y20" s="247"/>
      <c r="Z20" s="247"/>
      <c r="AA20" s="247"/>
      <c r="AB20" s="673"/>
      <c r="AC20" s="673"/>
      <c r="AD20" s="673"/>
      <c r="AE20" s="673"/>
      <c r="AF20" s="673"/>
      <c r="AG20" s="696"/>
      <c r="AH20" s="673"/>
      <c r="AI20" s="673"/>
      <c r="AJ20" s="673"/>
      <c r="AK20" s="673"/>
      <c r="AL20" s="673"/>
      <c r="AM20" s="673"/>
      <c r="AN20" s="673"/>
      <c r="AO20" s="673"/>
      <c r="AP20" s="673"/>
      <c r="AQ20" s="673"/>
      <c r="AR20" s="673"/>
      <c r="AS20" s="673"/>
      <c r="AT20" s="673"/>
      <c r="AU20" s="673"/>
      <c r="AV20" s="603"/>
      <c r="AW20" s="673"/>
      <c r="AX20" s="247"/>
      <c r="AY20" s="247"/>
      <c r="AZ20" s="247"/>
      <c r="BA20" s="247"/>
      <c r="BB20" s="342"/>
      <c r="BC20" s="109"/>
      <c r="BD20" s="58" t="s">
        <v>702</v>
      </c>
      <c r="BE20" s="234">
        <f>(((18*Worksheet!H61)+(0.8*Worksheet!H62)+(25*(Worksheet!H62*Worksheet!W67/1000)))*Worksheet!H68)/1000000*365</f>
        <v>0</v>
      </c>
      <c r="BN20" s="649"/>
      <c r="BO20" s="706" t="s">
        <v>1013</v>
      </c>
      <c r="BP20" s="708">
        <f>BQ20-BQ19</f>
        <v>26.21671429775434</v>
      </c>
      <c r="BQ20" s="889">
        <f t="shared" si="0"/>
        <v>57.801400497346833</v>
      </c>
      <c r="BR20" s="706"/>
      <c r="BS20" s="706"/>
      <c r="BT20" s="706" t="s">
        <v>1013</v>
      </c>
      <c r="BU20" s="720">
        <v>57.801400497346833</v>
      </c>
      <c r="BV20" s="709"/>
      <c r="BW20" s="893">
        <f>IF($Z$6="",BU20/0.737,BU20/$Z$6)</f>
        <v>78.427951828150384</v>
      </c>
      <c r="BX20" s="728" t="s">
        <v>1036</v>
      </c>
    </row>
    <row r="21" spans="1:78" ht="15" customHeight="1">
      <c r="A21" s="109"/>
      <c r="B21" s="335"/>
      <c r="C21" s="158"/>
      <c r="D21" s="158"/>
      <c r="E21" s="841"/>
      <c r="F21" s="158"/>
      <c r="G21" s="158"/>
      <c r="H21" s="158"/>
      <c r="I21" s="158"/>
      <c r="J21" s="158"/>
      <c r="K21" s="158"/>
      <c r="L21" s="158"/>
      <c r="M21" s="158"/>
      <c r="N21" s="158"/>
      <c r="O21" s="158"/>
      <c r="P21" s="158"/>
      <c r="Q21" s="158"/>
      <c r="R21" s="158"/>
      <c r="S21" s="158"/>
      <c r="T21" s="158"/>
      <c r="U21" s="158"/>
      <c r="V21" s="158"/>
      <c r="W21" s="247"/>
      <c r="X21" s="247"/>
      <c r="Y21" s="247"/>
      <c r="Z21" s="247"/>
      <c r="AA21" s="247"/>
      <c r="AB21" s="673"/>
      <c r="AC21" s="673"/>
      <c r="AD21" s="673"/>
      <c r="AE21" s="673"/>
      <c r="AF21" s="696"/>
      <c r="AG21" s="696"/>
      <c r="AH21" s="673"/>
      <c r="AI21" s="673"/>
      <c r="AJ21" s="673"/>
      <c r="AK21" s="673"/>
      <c r="AL21" s="673"/>
      <c r="AM21" s="673"/>
      <c r="AN21" s="673"/>
      <c r="AO21" s="673"/>
      <c r="AP21" s="673"/>
      <c r="AQ21" s="673"/>
      <c r="AR21" s="673"/>
      <c r="AS21" s="673"/>
      <c r="AT21" s="673"/>
      <c r="AU21" s="673"/>
      <c r="AV21" s="603"/>
      <c r="AW21" s="688"/>
      <c r="AX21" s="675"/>
      <c r="AY21" s="675"/>
      <c r="AZ21" s="676"/>
      <c r="BA21" s="677"/>
      <c r="BB21" s="342"/>
      <c r="BC21" s="109"/>
      <c r="BE21" s="234"/>
      <c r="BN21" s="649"/>
      <c r="BO21" s="691"/>
      <c r="BP21" s="726" t="s">
        <v>1032</v>
      </c>
      <c r="BQ21" s="727" t="s">
        <v>1035</v>
      </c>
      <c r="BR21" s="691"/>
      <c r="BS21" s="691"/>
      <c r="BT21" s="691"/>
      <c r="BU21" s="711"/>
      <c r="BV21" s="709"/>
      <c r="BW21" s="709"/>
      <c r="BX21" s="654"/>
    </row>
    <row r="22" spans="1:78" ht="12.9" customHeight="1">
      <c r="A22" s="109"/>
      <c r="B22" s="594"/>
      <c r="C22" s="158"/>
      <c r="D22" s="158"/>
      <c r="E22" s="841"/>
      <c r="F22" s="158"/>
      <c r="G22" s="158"/>
      <c r="H22" s="158"/>
      <c r="I22" s="158"/>
      <c r="J22" s="158"/>
      <c r="K22" s="158"/>
      <c r="L22" s="158"/>
      <c r="M22" s="158"/>
      <c r="N22" s="158"/>
      <c r="O22" s="158"/>
      <c r="P22" s="158"/>
      <c r="Q22" s="158"/>
      <c r="R22" s="158"/>
      <c r="S22" s="158"/>
      <c r="T22" s="158"/>
      <c r="U22" s="158"/>
      <c r="V22" s="158"/>
      <c r="W22" s="247"/>
      <c r="X22" s="247"/>
      <c r="Y22" s="247"/>
      <c r="Z22" s="247"/>
      <c r="AA22" s="247"/>
      <c r="AB22" s="673"/>
      <c r="AC22" s="673"/>
      <c r="AD22" s="673"/>
      <c r="AE22" s="673"/>
      <c r="AF22" s="696"/>
      <c r="AG22" s="696"/>
      <c r="AH22" s="697"/>
      <c r="AI22" s="697"/>
      <c r="AJ22" s="688"/>
      <c r="AK22" s="673"/>
      <c r="AL22" s="673"/>
      <c r="AM22" s="673"/>
      <c r="AN22" s="673"/>
      <c r="AO22" s="673"/>
      <c r="AP22" s="673"/>
      <c r="AQ22" s="673"/>
      <c r="AR22" s="673"/>
      <c r="AS22" s="673"/>
      <c r="AT22" s="673"/>
      <c r="AU22" s="673"/>
      <c r="AV22" s="673"/>
      <c r="AW22" s="688"/>
      <c r="AX22" s="247"/>
      <c r="AY22" s="247"/>
      <c r="AZ22" s="247"/>
      <c r="BA22" s="247"/>
      <c r="BB22" s="336"/>
      <c r="BC22" s="109"/>
      <c r="BN22" s="649"/>
      <c r="BO22" s="705" t="s">
        <v>1015</v>
      </c>
      <c r="BP22" s="705"/>
      <c r="BQ22" s="705"/>
      <c r="BR22" s="694" t="s">
        <v>1039</v>
      </c>
      <c r="BS22" s="721" t="str">
        <f>IF($BO$2&gt;0,"",IFERROR(N49/Worksheet!H62,""))</f>
        <v/>
      </c>
      <c r="BT22" s="691"/>
      <c r="BU22" s="793" t="s">
        <v>1035</v>
      </c>
      <c r="BV22" s="709"/>
      <c r="BW22" s="709"/>
      <c r="BX22" s="654"/>
    </row>
    <row r="23" spans="1:78" ht="12.9" customHeight="1">
      <c r="A23" s="109"/>
      <c r="B23" s="594"/>
      <c r="C23" s="158"/>
      <c r="D23" s="158"/>
      <c r="E23" s="84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09"/>
      <c r="AG23" s="609"/>
      <c r="AH23" s="670"/>
      <c r="AI23" s="670"/>
      <c r="AJ23" s="675"/>
      <c r="AK23" s="247"/>
      <c r="AL23" s="247"/>
      <c r="AM23" s="247"/>
      <c r="AN23" s="247"/>
      <c r="AO23" s="247"/>
      <c r="AP23" s="247"/>
      <c r="AQ23" s="247"/>
      <c r="AR23" s="247"/>
      <c r="AS23" s="247"/>
      <c r="AT23" s="247"/>
      <c r="AU23" s="673"/>
      <c r="AV23" s="247"/>
      <c r="AW23" s="247"/>
      <c r="AX23" s="247"/>
      <c r="AY23" s="247"/>
      <c r="AZ23" s="247"/>
      <c r="BA23" s="247"/>
      <c r="BB23" s="336"/>
      <c r="BC23" s="109"/>
      <c r="BN23" s="724" t="s">
        <v>1034</v>
      </c>
      <c r="BO23" s="706" t="s">
        <v>1033</v>
      </c>
      <c r="BP23" s="708">
        <f>SUM(BP24:BP27)</f>
        <v>24.233075430263664</v>
      </c>
      <c r="BQ23" s="889">
        <f>IF($BD$7="ML/Yr",BW23,BU23)</f>
        <v>0.26714599111167436</v>
      </c>
      <c r="BR23" s="694" t="s">
        <v>1038</v>
      </c>
      <c r="BS23" s="729" t="str">
        <f>IF(BS22="","",IF(BS22&lt;BQ23,0,IF(BS22&gt;BQ27,BQ27,BS22)))</f>
        <v/>
      </c>
      <c r="BT23" s="706" t="s">
        <v>1033</v>
      </c>
      <c r="BU23" s="720">
        <v>0.26714599111167436</v>
      </c>
      <c r="BV23" s="709"/>
      <c r="BW23" s="893">
        <f>IF($Z$6="",BU23/0.737,BU23/$Z$6)</f>
        <v>0.36247759988015515</v>
      </c>
      <c r="BX23" s="654"/>
    </row>
    <row r="24" spans="1:78" ht="12.9" customHeight="1">
      <c r="A24" s="109"/>
      <c r="B24" s="594"/>
      <c r="C24" s="158"/>
      <c r="D24" s="158"/>
      <c r="E24" s="84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09"/>
      <c r="AG24" s="609"/>
      <c r="AH24" s="670"/>
      <c r="AI24" s="670"/>
      <c r="AJ24" s="675"/>
      <c r="AK24" s="247"/>
      <c r="AL24" s="247"/>
      <c r="AM24" s="247"/>
      <c r="AN24" s="247"/>
      <c r="AO24" s="247"/>
      <c r="AP24" s="247"/>
      <c r="AQ24" s="247"/>
      <c r="AR24" s="247"/>
      <c r="AS24" s="247"/>
      <c r="AT24" s="247"/>
      <c r="AU24" s="673"/>
      <c r="AV24" s="247"/>
      <c r="AW24" s="675"/>
      <c r="AX24" s="247"/>
      <c r="AY24" s="247"/>
      <c r="AZ24" s="247"/>
      <c r="BA24" s="247"/>
      <c r="BB24" s="336"/>
      <c r="BC24" s="109"/>
      <c r="BN24" s="649"/>
      <c r="BO24" s="706" t="s">
        <v>1011</v>
      </c>
      <c r="BP24" s="708">
        <f>BQ24</f>
        <v>0.87495347188920114</v>
      </c>
      <c r="BQ24" s="889">
        <f t="shared" ref="BQ24:BQ27" si="1">IF($BD$7="ML/Yr",BW24,BU24)</f>
        <v>0.87495347188920114</v>
      </c>
      <c r="BR24" s="706" t="s">
        <v>1037</v>
      </c>
      <c r="BS24" s="710">
        <f>SUM(BP23:BP27)/125</f>
        <v>0.38772920688421864</v>
      </c>
      <c r="BT24" s="706" t="s">
        <v>1011</v>
      </c>
      <c r="BU24" s="720">
        <v>0.87495347188920114</v>
      </c>
      <c r="BV24" s="709"/>
      <c r="BW24" s="893">
        <f>IF($Z$6="",BU24/0.737,BU24/$Z$6)</f>
        <v>1.1871824584656732</v>
      </c>
      <c r="BX24" s="58" t="s">
        <v>1020</v>
      </c>
    </row>
    <row r="25" spans="1:78" ht="12.9" customHeight="1">
      <c r="A25" s="109"/>
      <c r="B25" s="594"/>
      <c r="C25" s="158"/>
      <c r="D25" s="158"/>
      <c r="E25" s="841"/>
      <c r="F25" s="158"/>
      <c r="G25" s="158"/>
      <c r="H25" s="158"/>
      <c r="I25" s="158"/>
      <c r="J25" s="158"/>
      <c r="K25" s="158"/>
      <c r="L25" s="158"/>
      <c r="M25" s="158"/>
      <c r="N25" s="158"/>
      <c r="O25" s="158"/>
      <c r="P25" s="158"/>
      <c r="Q25" s="158"/>
      <c r="R25" s="158"/>
      <c r="S25" s="158"/>
      <c r="T25" s="158"/>
      <c r="U25" s="158"/>
      <c r="V25" s="158"/>
      <c r="W25" s="247"/>
      <c r="X25" s="247"/>
      <c r="Y25" s="247"/>
      <c r="Z25" s="247"/>
      <c r="AA25" s="247"/>
      <c r="AB25" s="1169" t="str">
        <f>IF(BS36&lt;0,"negative result check inputs",IF($BS$37=0,"result is below 10th %ile",IF($BS$36&gt;$BS$37,"result is above 90th %ile","")))</f>
        <v/>
      </c>
      <c r="AC25" s="1169"/>
      <c r="AD25" s="1169"/>
      <c r="AE25" s="1169"/>
      <c r="AF25" s="609"/>
      <c r="AG25" s="609"/>
      <c r="AH25" s="670"/>
      <c r="AI25" s="670"/>
      <c r="AJ25" s="675"/>
      <c r="AK25" s="247"/>
      <c r="AL25" s="1169" t="str">
        <f>IF(BS43&lt;0,"negative result check inputs",IF($BS$44=0,"result is below 10th %ile",IF($BS$43&gt;$BS$44,"result is above 90th %ile","")))</f>
        <v/>
      </c>
      <c r="AM25" s="1169"/>
      <c r="AN25" s="1169"/>
      <c r="AO25" s="1169"/>
      <c r="AP25" s="247"/>
      <c r="AQ25" s="247"/>
      <c r="AR25" s="247"/>
      <c r="AS25" s="247"/>
      <c r="AT25" s="247"/>
      <c r="AU25" s="673"/>
      <c r="AV25" s="1169" t="str">
        <f>IF(BS55&lt;0,"negative result check inputs",IF($BS$56=0,"result is below 10th %ile",IF($BS$55&gt;$BS$56,"result is above 90th %ile","")))</f>
        <v/>
      </c>
      <c r="AW25" s="1169"/>
      <c r="AX25" s="1169"/>
      <c r="AY25" s="1169"/>
      <c r="AZ25" s="247"/>
      <c r="BA25" s="247"/>
      <c r="BB25" s="336"/>
      <c r="BC25" s="109"/>
      <c r="BN25" s="649"/>
      <c r="BO25" s="706" t="s">
        <v>1031</v>
      </c>
      <c r="BP25" s="708">
        <f>BQ25-BQ24</f>
        <v>5.2798362211473915</v>
      </c>
      <c r="BQ25" s="889">
        <f t="shared" si="1"/>
        <v>6.1547896930365926</v>
      </c>
      <c r="BR25" s="706" t="s">
        <v>773</v>
      </c>
      <c r="BS25" s="710">
        <f>SUM(BP23:BP27)-SUM(BS23,BS24)</f>
        <v>48.078421653643112</v>
      </c>
      <c r="BT25" s="706" t="s">
        <v>1031</v>
      </c>
      <c r="BU25" s="720">
        <v>6.1547896930365926</v>
      </c>
      <c r="BV25" s="709"/>
      <c r="BW25" s="893">
        <f>IF($Z$6="",BU25/0.737,BU25/$Z$6)</f>
        <v>8.3511393392626765</v>
      </c>
      <c r="BX25" s="58" t="s">
        <v>1191</v>
      </c>
    </row>
    <row r="26" spans="1:78" ht="12.9" customHeight="1">
      <c r="A26" s="109"/>
      <c r="B26" s="594"/>
      <c r="C26" s="158"/>
      <c r="D26" s="158"/>
      <c r="E26" s="841"/>
      <c r="F26" s="158"/>
      <c r="G26" s="158"/>
      <c r="H26" s="158"/>
      <c r="I26" s="158"/>
      <c r="J26" s="158"/>
      <c r="K26" s="158"/>
      <c r="L26" s="158"/>
      <c r="M26" s="158"/>
      <c r="N26" s="158"/>
      <c r="O26" s="158"/>
      <c r="P26" s="158"/>
      <c r="Q26" s="158"/>
      <c r="R26" s="158"/>
      <c r="S26" s="158"/>
      <c r="T26" s="158"/>
      <c r="U26" s="158"/>
      <c r="V26" s="158"/>
      <c r="W26" s="247"/>
      <c r="X26" s="247"/>
      <c r="Y26" s="247"/>
      <c r="Z26" s="247"/>
      <c r="AA26" s="247"/>
      <c r="AB26" s="1169"/>
      <c r="AC26" s="1169"/>
      <c r="AD26" s="1169"/>
      <c r="AE26" s="1169"/>
      <c r="AF26" s="609"/>
      <c r="AG26" s="609"/>
      <c r="AH26" s="670"/>
      <c r="AI26" s="670"/>
      <c r="AJ26" s="675"/>
      <c r="AK26" s="247"/>
      <c r="AL26" s="1169"/>
      <c r="AM26" s="1169"/>
      <c r="AN26" s="1169"/>
      <c r="AO26" s="1169"/>
      <c r="AP26" s="247"/>
      <c r="AQ26" s="247"/>
      <c r="AR26" s="247"/>
      <c r="AS26" s="247"/>
      <c r="AT26" s="247"/>
      <c r="AU26" s="673"/>
      <c r="AV26" s="1169"/>
      <c r="AW26" s="1169"/>
      <c r="AX26" s="1169"/>
      <c r="AY26" s="1169"/>
      <c r="AZ26" s="247"/>
      <c r="BA26" s="247"/>
      <c r="BB26" s="336"/>
      <c r="BC26" s="109"/>
      <c r="BN26" s="649"/>
      <c r="BO26" s="706" t="s">
        <v>1012</v>
      </c>
      <c r="BP26" s="708">
        <f>BQ26-BQ25</f>
        <v>7.97433526183511</v>
      </c>
      <c r="BQ26" s="889">
        <f t="shared" si="1"/>
        <v>14.129124954871703</v>
      </c>
      <c r="BR26" s="706"/>
      <c r="BS26" s="706"/>
      <c r="BT26" s="706" t="s">
        <v>1012</v>
      </c>
      <c r="BU26" s="720">
        <v>14.129124954871703</v>
      </c>
      <c r="BV26" s="709"/>
      <c r="BW26" s="893">
        <f>IF($Z$6="",BU26/0.737,BU26/$Z$6)</f>
        <v>19.17113291027368</v>
      </c>
    </row>
    <row r="27" spans="1:78" ht="12.9" customHeight="1">
      <c r="A27" s="109"/>
      <c r="B27" s="594"/>
      <c r="C27" s="158"/>
      <c r="D27" s="158"/>
      <c r="E27" s="84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09"/>
      <c r="AG27" s="609"/>
      <c r="AH27" s="670"/>
      <c r="AI27" s="670"/>
      <c r="AJ27" s="675"/>
      <c r="AK27" s="247"/>
      <c r="AL27" s="247"/>
      <c r="AM27" s="247"/>
      <c r="AN27" s="247"/>
      <c r="AO27" s="247"/>
      <c r="AP27" s="247"/>
      <c r="AQ27" s="247"/>
      <c r="AR27" s="247"/>
      <c r="AS27" s="247"/>
      <c r="AT27" s="247"/>
      <c r="AU27" s="673"/>
      <c r="AV27" s="247"/>
      <c r="AW27" s="675"/>
      <c r="AX27" s="247"/>
      <c r="AY27" s="247"/>
      <c r="AZ27" s="247"/>
      <c r="BA27" s="247"/>
      <c r="BB27" s="336"/>
      <c r="BC27" s="109"/>
      <c r="BD27" s="866">
        <f>'M36 Refs'!AN118</f>
        <v>7</v>
      </c>
      <c r="BE27" s="226" t="s">
        <v>157</v>
      </c>
      <c r="BN27" s="649"/>
      <c r="BO27" s="706" t="s">
        <v>1013</v>
      </c>
      <c r="BP27" s="708">
        <f>BQ27-BQ26</f>
        <v>10.103950475391962</v>
      </c>
      <c r="BQ27" s="889">
        <f t="shared" si="1"/>
        <v>24.233075430263664</v>
      </c>
      <c r="BR27" s="706"/>
      <c r="BS27" s="706"/>
      <c r="BT27" s="706" t="s">
        <v>1013</v>
      </c>
      <c r="BU27" s="720">
        <v>24.233075430263664</v>
      </c>
      <c r="BV27" s="709"/>
      <c r="BW27" s="893">
        <f>IF($Z$6="",BU27/0.737,BU27/$Z$6)</f>
        <v>32.880699362637266</v>
      </c>
      <c r="BX27" s="728" t="s">
        <v>1036</v>
      </c>
    </row>
    <row r="28" spans="1:78" ht="12.9" customHeight="1">
      <c r="A28" s="109"/>
      <c r="B28" s="594"/>
      <c r="C28" s="158"/>
      <c r="D28" s="158"/>
      <c r="E28" s="84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83" t="s">
        <v>1010</v>
      </c>
      <c r="AD28" s="785"/>
      <c r="AE28" s="786"/>
      <c r="AF28" s="786"/>
      <c r="AG28" s="785"/>
      <c r="AH28" s="785"/>
      <c r="AI28" s="785"/>
      <c r="AJ28" s="785"/>
      <c r="AK28" s="785"/>
      <c r="AL28" s="785"/>
      <c r="AM28" s="783" t="s">
        <v>948</v>
      </c>
      <c r="AN28" s="786"/>
      <c r="AO28" s="786"/>
      <c r="AP28" s="786"/>
      <c r="AQ28" s="786"/>
      <c r="AR28" s="786"/>
      <c r="AS28" s="786"/>
      <c r="AT28" s="786"/>
      <c r="AU28" s="786"/>
      <c r="AV28" s="787"/>
      <c r="AW28" s="783" t="s">
        <v>1168</v>
      </c>
      <c r="AX28" s="247"/>
      <c r="AY28" s="247"/>
      <c r="AZ28" s="247"/>
      <c r="BA28" s="247"/>
      <c r="BB28" s="336"/>
      <c r="BC28" s="109"/>
      <c r="BD28" s="58">
        <f>IF(ISBLANK('Start Page'!$AB$22),0,1)</f>
        <v>0</v>
      </c>
      <c r="BE28" s="226" t="s">
        <v>158</v>
      </c>
      <c r="BN28" s="649"/>
      <c r="BP28" s="726" t="s">
        <v>1032</v>
      </c>
      <c r="BQ28" s="727" t="s">
        <v>1035</v>
      </c>
      <c r="BU28" s="58"/>
      <c r="BV28" s="709"/>
      <c r="BW28" s="709"/>
      <c r="BX28" s="654"/>
    </row>
    <row r="29" spans="1:78" ht="12.9" customHeight="1">
      <c r="A29" s="109"/>
      <c r="B29" s="594"/>
      <c r="C29" s="158"/>
      <c r="D29" s="158"/>
      <c r="E29" s="841"/>
      <c r="F29" s="158"/>
      <c r="G29" s="158"/>
      <c r="H29" s="158"/>
      <c r="I29" s="158"/>
      <c r="J29" s="158"/>
      <c r="K29" s="158"/>
      <c r="L29" s="158"/>
      <c r="M29" s="158"/>
      <c r="N29" s="158"/>
      <c r="O29" s="158"/>
      <c r="P29" s="158"/>
      <c r="Q29" s="158"/>
      <c r="R29" s="158"/>
      <c r="S29" s="158"/>
      <c r="T29" s="158"/>
      <c r="U29" s="158"/>
      <c r="V29" s="158"/>
      <c r="W29" s="247"/>
      <c r="X29" s="247"/>
      <c r="Y29" s="247"/>
      <c r="Z29" s="247"/>
      <c r="AA29" s="1174" t="str">
        <f>BS36</f>
        <v/>
      </c>
      <c r="AB29" s="1174"/>
      <c r="AC29" s="1174"/>
      <c r="AD29" s="859" t="str">
        <f>BD10</f>
        <v/>
      </c>
      <c r="AE29" s="859"/>
      <c r="AF29" s="864"/>
      <c r="AG29" s="864"/>
      <c r="AH29" s="690"/>
      <c r="AI29" s="690"/>
      <c r="AJ29" s="690"/>
      <c r="AK29" s="1174" t="str">
        <f>BS43</f>
        <v/>
      </c>
      <c r="AL29" s="1174"/>
      <c r="AM29" s="1174"/>
      <c r="AN29" s="860" t="str">
        <f>BD10</f>
        <v/>
      </c>
      <c r="AO29" s="690"/>
      <c r="AP29" s="690"/>
      <c r="AQ29" s="690"/>
      <c r="AR29" s="690"/>
      <c r="AS29" s="690"/>
      <c r="AT29" s="690"/>
      <c r="AU29" s="1186" t="str">
        <f>BS55</f>
        <v/>
      </c>
      <c r="AV29" s="1186"/>
      <c r="AW29" s="1186"/>
      <c r="AX29" s="860" t="str">
        <f>BD10</f>
        <v/>
      </c>
      <c r="AY29" s="690"/>
      <c r="AZ29" s="247"/>
      <c r="BA29" s="247"/>
      <c r="BB29" s="336"/>
      <c r="BC29" s="109"/>
      <c r="BD29" s="867" t="b">
        <f>IF('Interactive Data Grading'!D465=VPC!C28,TRUE,FALSE)</f>
        <v>0</v>
      </c>
      <c r="BE29" s="58" t="s">
        <v>136</v>
      </c>
      <c r="BO29" s="705" t="s">
        <v>1016</v>
      </c>
      <c r="BP29" s="705"/>
      <c r="BQ29" s="705"/>
      <c r="BR29" s="694" t="s">
        <v>1039</v>
      </c>
      <c r="BS29" s="721" t="str">
        <f>IF($BO$2&gt;0,"",IFERROR(N50/Worksheet!H62,""))</f>
        <v/>
      </c>
      <c r="BT29" s="691"/>
      <c r="BU29" s="793" t="s">
        <v>1035</v>
      </c>
      <c r="BV29" s="709"/>
      <c r="BW29" s="709"/>
      <c r="BX29" s="654"/>
    </row>
    <row r="30" spans="1:78" ht="12.9" customHeight="1">
      <c r="A30" s="109"/>
      <c r="B30" s="594"/>
      <c r="C30" s="158"/>
      <c r="D30" s="158"/>
      <c r="E30" s="84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09"/>
      <c r="AG30" s="609"/>
      <c r="AH30" s="670"/>
      <c r="AI30" s="670"/>
      <c r="AJ30" s="675"/>
      <c r="AK30" s="247"/>
      <c r="AL30" s="247"/>
      <c r="AM30" s="58"/>
      <c r="AN30" s="247"/>
      <c r="AO30" s="247"/>
      <c r="AP30" s="247"/>
      <c r="AQ30" s="247"/>
      <c r="AR30" s="247"/>
      <c r="AS30" s="247"/>
      <c r="AT30" s="247"/>
      <c r="AU30" s="673"/>
      <c r="AV30" s="671"/>
      <c r="AW30" s="58"/>
      <c r="AX30" s="58"/>
      <c r="AY30" s="247"/>
      <c r="AZ30" s="247"/>
      <c r="BA30" s="247"/>
      <c r="BB30" s="336"/>
      <c r="BC30" s="109"/>
      <c r="BE30" s="58" t="s">
        <v>133</v>
      </c>
      <c r="BN30" s="724" t="s">
        <v>1034</v>
      </c>
      <c r="BO30" s="706" t="s">
        <v>1033</v>
      </c>
      <c r="BP30" s="708">
        <f>SUM(BP31:BP34)</f>
        <v>35.54734395994759</v>
      </c>
      <c r="BQ30" s="889">
        <f>IF($BD$7="ML/Yr",BW30,BU30)</f>
        <v>1.9039650877460725</v>
      </c>
      <c r="BR30" s="694" t="s">
        <v>1038</v>
      </c>
      <c r="BS30" s="729" t="str">
        <f>IF(BS29="","",IF(BS29&lt;BQ30,0,IF(BS29&gt;BQ34,BQ34,BS29)))</f>
        <v/>
      </c>
      <c r="BT30" s="706" t="s">
        <v>1033</v>
      </c>
      <c r="BU30" s="720">
        <v>1.9039650877460725</v>
      </c>
      <c r="BV30" s="709"/>
      <c r="BW30" s="893">
        <f>IF($Z$6="",BU30/0.737,BU30/$Z$6)</f>
        <v>2.5833990335767605</v>
      </c>
      <c r="BX30" s="654"/>
    </row>
    <row r="31" spans="1:78" ht="12.9" customHeight="1">
      <c r="A31" s="109"/>
      <c r="B31" s="594"/>
      <c r="C31" s="158"/>
      <c r="D31" s="158"/>
      <c r="E31" s="841"/>
      <c r="F31" s="158"/>
      <c r="G31" s="158"/>
      <c r="H31" s="158"/>
      <c r="I31" s="158"/>
      <c r="J31" s="158"/>
      <c r="K31" s="158"/>
      <c r="L31" s="158"/>
      <c r="M31" s="158"/>
      <c r="N31" s="158"/>
      <c r="O31" s="158"/>
      <c r="P31" s="158"/>
      <c r="Q31" s="158"/>
      <c r="R31" s="158"/>
      <c r="S31" s="158"/>
      <c r="T31" s="158"/>
      <c r="U31" s="158"/>
      <c r="V31" s="158"/>
      <c r="W31" s="247"/>
      <c r="X31" s="900" t="s">
        <v>591</v>
      </c>
      <c r="Y31" s="58"/>
      <c r="Z31" s="247"/>
      <c r="AA31" s="247"/>
      <c r="AB31" s="58"/>
      <c r="AC31" s="58"/>
      <c r="AD31" s="247"/>
      <c r="AE31" s="247"/>
      <c r="AF31" s="247"/>
      <c r="AG31" s="247"/>
      <c r="AH31" s="609"/>
      <c r="AI31" s="609"/>
      <c r="AJ31" s="670"/>
      <c r="AK31" s="670"/>
      <c r="AL31" s="675"/>
      <c r="AM31" s="247"/>
      <c r="AN31" s="247"/>
      <c r="AO31" s="247"/>
      <c r="AP31" s="247"/>
      <c r="AQ31" s="247"/>
      <c r="AR31" s="247"/>
      <c r="AS31" s="247"/>
      <c r="AT31" s="247"/>
      <c r="AU31" s="247"/>
      <c r="AV31" s="247"/>
      <c r="AW31" s="673"/>
      <c r="AX31" s="247"/>
      <c r="AY31" s="247"/>
      <c r="AZ31" s="247"/>
      <c r="BA31" s="247"/>
      <c r="BB31" s="336"/>
      <c r="BC31" s="109"/>
      <c r="BE31" s="227" t="s">
        <v>296</v>
      </c>
      <c r="BN31" s="649"/>
      <c r="BO31" s="706" t="s">
        <v>1011</v>
      </c>
      <c r="BP31" s="708">
        <f>BQ31</f>
        <v>3.7255465834551216</v>
      </c>
      <c r="BQ31" s="889">
        <f t="shared" ref="BQ31:BQ34" si="2">IF($BD$7="ML/Yr",BW31,BU31)</f>
        <v>3.7255465834551216</v>
      </c>
      <c r="BR31" s="706" t="s">
        <v>1037</v>
      </c>
      <c r="BS31" s="710">
        <f>SUM(BP30:BP34)/125</f>
        <v>0.56875750335916142</v>
      </c>
      <c r="BT31" s="706" t="s">
        <v>1011</v>
      </c>
      <c r="BU31" s="720">
        <v>3.7255465834551216</v>
      </c>
      <c r="BV31" s="709"/>
      <c r="BW31" s="893">
        <f>IF($Z$6="",BU31/0.737,BU31/$Z$6)</f>
        <v>5.0550157170354435</v>
      </c>
      <c r="BX31" s="58" t="s">
        <v>1020</v>
      </c>
    </row>
    <row r="32" spans="1:78" ht="12.9" customHeight="1">
      <c r="A32" s="109"/>
      <c r="B32" s="594"/>
      <c r="C32" s="158"/>
      <c r="D32" s="158"/>
      <c r="E32" s="841"/>
      <c r="F32" s="158"/>
      <c r="G32" s="158"/>
      <c r="H32" s="158"/>
      <c r="I32" s="158"/>
      <c r="J32" s="158"/>
      <c r="K32" s="158"/>
      <c r="L32" s="158"/>
      <c r="M32" s="158"/>
      <c r="N32" s="158"/>
      <c r="O32" s="158"/>
      <c r="P32" s="158"/>
      <c r="Q32" s="158"/>
      <c r="R32" s="158"/>
      <c r="S32" s="158"/>
      <c r="T32" s="158"/>
      <c r="U32" s="158"/>
      <c r="V32" s="158"/>
      <c r="W32" s="247"/>
      <c r="X32" s="1163" t="str">
        <f>IF(input_AOP="","",input_AOP)</f>
        <v/>
      </c>
      <c r="Y32" s="1163"/>
      <c r="Z32" s="911" t="str">
        <f>Worksheet!J68</f>
        <v/>
      </c>
      <c r="AA32" s="58"/>
      <c r="AB32" s="58"/>
      <c r="AC32" s="901"/>
      <c r="AD32" s="901"/>
      <c r="AE32" s="901"/>
      <c r="AF32" s="247"/>
      <c r="AG32" s="247"/>
      <c r="AH32" s="609"/>
      <c r="AI32" s="609"/>
      <c r="AJ32" s="670"/>
      <c r="AK32" s="670"/>
      <c r="AL32" s="675"/>
      <c r="AM32" s="247"/>
      <c r="AN32" s="247"/>
      <c r="AO32" s="247"/>
      <c r="AP32" s="247"/>
      <c r="AQ32" s="247"/>
      <c r="AR32" s="247"/>
      <c r="AS32" s="247"/>
      <c r="AT32" s="247"/>
      <c r="AU32" s="247"/>
      <c r="AV32" s="247"/>
      <c r="AW32" s="673"/>
      <c r="AX32" s="678" t="str">
        <f>IF(LEN(Worksheet!C70)&gt;0,"Pressure too low to calculate UARL","")</f>
        <v/>
      </c>
      <c r="AY32" s="247"/>
      <c r="AZ32" s="247"/>
      <c r="BA32" s="247"/>
      <c r="BB32" s="336"/>
      <c r="BC32" s="109"/>
      <c r="BN32" s="649"/>
      <c r="BO32" s="706" t="s">
        <v>1031</v>
      </c>
      <c r="BP32" s="708">
        <f>BQ32-BQ31</f>
        <v>4.2242209408171547</v>
      </c>
      <c r="BQ32" s="889">
        <f t="shared" si="2"/>
        <v>7.9497675242722758</v>
      </c>
      <c r="BR32" s="706" t="s">
        <v>773</v>
      </c>
      <c r="BS32" s="710">
        <f>SUM(BP30:BP34)-SUM(BS30,BS31)</f>
        <v>70.525930416536013</v>
      </c>
      <c r="BT32" s="706" t="s">
        <v>1031</v>
      </c>
      <c r="BU32" s="720">
        <v>7.9497675242722758</v>
      </c>
      <c r="BV32" s="709"/>
      <c r="BW32" s="893">
        <f>IF($Z$6="",BU32/0.737,BU32/$Z$6)</f>
        <v>10.786658784629953</v>
      </c>
      <c r="BX32" s="58" t="s">
        <v>1191</v>
      </c>
    </row>
    <row r="33" spans="1:78" ht="12.9" customHeight="1">
      <c r="A33" s="109"/>
      <c r="B33" s="594"/>
      <c r="C33" s="158"/>
      <c r="D33" s="158"/>
      <c r="E33" s="841"/>
      <c r="F33" s="158"/>
      <c r="G33" s="158"/>
      <c r="H33" s="158"/>
      <c r="I33" s="158"/>
      <c r="J33" s="158"/>
      <c r="K33" s="158"/>
      <c r="L33" s="158"/>
      <c r="M33" s="158"/>
      <c r="N33" s="158"/>
      <c r="O33" s="158"/>
      <c r="P33" s="158"/>
      <c r="Q33" s="158"/>
      <c r="R33" s="158"/>
      <c r="S33" s="158"/>
      <c r="T33" s="158"/>
      <c r="U33" s="158"/>
      <c r="V33" s="158"/>
      <c r="W33" s="247"/>
      <c r="X33" s="247"/>
      <c r="Y33" s="247"/>
      <c r="Z33" s="247"/>
      <c r="AA33" s="58"/>
      <c r="AB33" s="1164" t="str">
        <f>IF(BQ83=0,"",IF(BQ83&lt;BQ78,"AOP is below 10th %ile",IF(BQ83&gt;BQ82,"AOP is above 90th %ile","")))</f>
        <v/>
      </c>
      <c r="AC33" s="1164"/>
      <c r="AD33" s="1164"/>
      <c r="AE33" s="901"/>
      <c r="AF33" s="247"/>
      <c r="AG33" s="247"/>
      <c r="AH33" s="609"/>
      <c r="AI33" s="609"/>
      <c r="AJ33" s="670"/>
      <c r="AK33" s="670"/>
      <c r="AL33" s="675"/>
      <c r="AM33" s="247"/>
      <c r="AN33" s="247"/>
      <c r="AO33" s="247"/>
      <c r="AP33" s="247"/>
      <c r="AQ33" s="247"/>
      <c r="AR33" s="247"/>
      <c r="AS33" s="247"/>
      <c r="AT33" s="247"/>
      <c r="AU33" s="247"/>
      <c r="AV33" s="247"/>
      <c r="AW33" s="673"/>
      <c r="AX33" s="678"/>
      <c r="AY33" s="247"/>
      <c r="AZ33" s="247"/>
      <c r="BA33" s="247"/>
      <c r="BB33" s="336"/>
      <c r="BC33" s="109"/>
      <c r="BD33" s="228"/>
      <c r="BF33" s="229"/>
      <c r="BN33" s="649"/>
      <c r="BO33" s="706" t="s">
        <v>1012</v>
      </c>
      <c r="BP33" s="708">
        <f>BQ33-BQ32</f>
        <v>8.3367570590545697</v>
      </c>
      <c r="BQ33" s="889">
        <f t="shared" si="2"/>
        <v>16.286524583326845</v>
      </c>
      <c r="BR33" s="706"/>
      <c r="BS33" s="706"/>
      <c r="BT33" s="706" t="s">
        <v>1012</v>
      </c>
      <c r="BU33" s="720">
        <v>16.286524583326845</v>
      </c>
      <c r="BV33" s="709"/>
      <c r="BW33" s="893">
        <f>IF($Z$6="",BU33/0.737,BU33/$Z$6)</f>
        <v>22.098405133414985</v>
      </c>
    </row>
    <row r="34" spans="1:78" ht="12.9" customHeight="1">
      <c r="A34" s="109"/>
      <c r="B34" s="594"/>
      <c r="C34" s="158"/>
      <c r="D34" s="158"/>
      <c r="E34" s="841"/>
      <c r="F34" s="158"/>
      <c r="G34" s="158"/>
      <c r="H34" s="158"/>
      <c r="I34" s="158"/>
      <c r="J34" s="158"/>
      <c r="K34" s="158"/>
      <c r="L34" s="158"/>
      <c r="M34" s="158"/>
      <c r="N34" s="158"/>
      <c r="O34" s="158"/>
      <c r="P34" s="158"/>
      <c r="Q34" s="158"/>
      <c r="R34" s="158"/>
      <c r="S34" s="158"/>
      <c r="T34" s="158"/>
      <c r="U34" s="158"/>
      <c r="V34" s="158"/>
      <c r="W34" s="247"/>
      <c r="X34" s="247"/>
      <c r="Y34" s="247"/>
      <c r="Z34" s="247"/>
      <c r="AA34" s="901"/>
      <c r="AB34" s="1164"/>
      <c r="AC34" s="1164"/>
      <c r="AD34" s="1164"/>
      <c r="AE34" s="247"/>
      <c r="AF34" s="247"/>
      <c r="AG34" s="247"/>
      <c r="AH34" s="609"/>
      <c r="AI34" s="609"/>
      <c r="AJ34" s="670"/>
      <c r="AK34" s="670"/>
      <c r="AL34" s="675"/>
      <c r="AM34" s="247"/>
      <c r="AN34" s="247"/>
      <c r="AO34" s="247"/>
      <c r="AP34" s="247"/>
      <c r="AQ34" s="247"/>
      <c r="AR34" s="247"/>
      <c r="AS34" s="247"/>
      <c r="AT34" s="247"/>
      <c r="AU34" s="247"/>
      <c r="AV34" s="247"/>
      <c r="AW34" s="673"/>
      <c r="AX34" s="673"/>
      <c r="AY34" s="247"/>
      <c r="AZ34" s="247"/>
      <c r="BA34" s="247"/>
      <c r="BB34" s="336"/>
      <c r="BC34" s="109"/>
      <c r="BD34" s="228"/>
      <c r="BN34" s="649"/>
      <c r="BO34" s="706" t="s">
        <v>1013</v>
      </c>
      <c r="BP34" s="708">
        <f>BQ34-BQ33</f>
        <v>19.260819376620745</v>
      </c>
      <c r="BQ34" s="889">
        <f t="shared" si="2"/>
        <v>35.54734395994759</v>
      </c>
      <c r="BR34" s="706"/>
      <c r="BS34" s="706"/>
      <c r="BT34" s="706" t="s">
        <v>1013</v>
      </c>
      <c r="BU34" s="720">
        <v>35.54734395994759</v>
      </c>
      <c r="BV34" s="709"/>
      <c r="BW34" s="893">
        <f>IF($Z$6="",BU34/0.737,BU34/$Z$6)</f>
        <v>48.232488412411925</v>
      </c>
      <c r="BX34" s="728" t="s">
        <v>1036</v>
      </c>
    </row>
    <row r="35" spans="1:78" ht="12.9" customHeight="1">
      <c r="A35" s="109"/>
      <c r="B35" s="594"/>
      <c r="C35" s="158"/>
      <c r="D35" s="158"/>
      <c r="E35" s="841"/>
      <c r="F35" s="158"/>
      <c r="G35" s="158"/>
      <c r="H35" s="158"/>
      <c r="I35" s="158"/>
      <c r="J35" s="158"/>
      <c r="K35" s="158"/>
      <c r="L35" s="158"/>
      <c r="M35" s="158"/>
      <c r="N35" s="158"/>
      <c r="O35" s="158"/>
      <c r="P35" s="158"/>
      <c r="Q35" s="158"/>
      <c r="R35" s="158"/>
      <c r="S35" s="158"/>
      <c r="T35" s="158"/>
      <c r="U35" s="158"/>
      <c r="V35" s="158"/>
      <c r="W35" s="247"/>
      <c r="X35" s="247"/>
      <c r="Y35" s="247"/>
      <c r="Z35" s="247"/>
      <c r="AA35" s="247"/>
      <c r="AB35" s="901"/>
      <c r="AC35" s="901"/>
      <c r="AD35" s="901"/>
      <c r="AE35" s="247"/>
      <c r="AF35" s="247"/>
      <c r="AG35" s="247"/>
      <c r="AH35" s="609"/>
      <c r="AI35" s="609"/>
      <c r="AJ35" s="670"/>
      <c r="AK35" s="670"/>
      <c r="AL35" s="675"/>
      <c r="AM35" s="247"/>
      <c r="AN35" s="247"/>
      <c r="AO35" s="247"/>
      <c r="AP35" s="247"/>
      <c r="AQ35" s="247"/>
      <c r="AR35" s="247"/>
      <c r="AS35" s="247"/>
      <c r="AT35" s="247"/>
      <c r="AU35" s="247"/>
      <c r="AV35" s="247"/>
      <c r="AW35" s="673"/>
      <c r="AX35" s="247"/>
      <c r="AY35" s="247"/>
      <c r="AZ35" s="247"/>
      <c r="BA35" s="247"/>
      <c r="BB35" s="336"/>
      <c r="BC35" s="109"/>
      <c r="BD35" s="230"/>
      <c r="BF35" s="229"/>
      <c r="BO35" s="691"/>
      <c r="BP35" s="726" t="s">
        <v>1032</v>
      </c>
      <c r="BQ35" s="727" t="s">
        <v>1035</v>
      </c>
      <c r="BR35" s="691"/>
      <c r="BS35" s="691"/>
      <c r="BT35" s="706"/>
      <c r="BU35" s="707"/>
      <c r="BV35" s="709"/>
      <c r="BW35" s="709"/>
      <c r="BX35" s="654"/>
    </row>
    <row r="36" spans="1:78" ht="12.9" customHeight="1">
      <c r="A36" s="109"/>
      <c r="B36" s="594"/>
      <c r="C36" s="158"/>
      <c r="D36" s="158"/>
      <c r="E36" s="841"/>
      <c r="F36" s="158"/>
      <c r="G36" s="158"/>
      <c r="H36" s="158"/>
      <c r="I36" s="158"/>
      <c r="J36" s="158"/>
      <c r="K36" s="158"/>
      <c r="L36" s="158"/>
      <c r="M36" s="158"/>
      <c r="N36" s="158"/>
      <c r="O36" s="158"/>
      <c r="P36" s="158"/>
      <c r="Q36" s="158"/>
      <c r="R36" s="158"/>
      <c r="S36" s="158"/>
      <c r="T36" s="158"/>
      <c r="U36" s="158"/>
      <c r="V36" s="158"/>
      <c r="W36" s="247"/>
      <c r="X36" s="247"/>
      <c r="Y36" s="247"/>
      <c r="Z36" s="247"/>
      <c r="AA36" s="58"/>
      <c r="AB36" s="901"/>
      <c r="AC36" s="901"/>
      <c r="AD36" s="247"/>
      <c r="AE36" s="247"/>
      <c r="AF36" s="247"/>
      <c r="AG36" s="247"/>
      <c r="AH36" s="609"/>
      <c r="AI36" s="58"/>
      <c r="AJ36" s="670"/>
      <c r="AK36" s="670"/>
      <c r="AL36" s="675"/>
      <c r="AM36" s="247"/>
      <c r="AN36" s="247"/>
      <c r="AO36" s="247"/>
      <c r="AP36" s="247"/>
      <c r="AQ36" s="247"/>
      <c r="AR36" s="247"/>
      <c r="AS36" s="247"/>
      <c r="AT36" s="247"/>
      <c r="AU36" s="247"/>
      <c r="AV36" s="247"/>
      <c r="AW36" s="673"/>
      <c r="AX36" s="247"/>
      <c r="AY36" s="247"/>
      <c r="AZ36" s="247"/>
      <c r="BA36" s="247"/>
      <c r="BB36" s="336"/>
      <c r="BC36" s="109"/>
      <c r="BD36" s="230"/>
      <c r="BF36" s="229"/>
      <c r="BO36" s="705" t="s">
        <v>1010</v>
      </c>
      <c r="BP36" s="705"/>
      <c r="BQ36" s="705"/>
      <c r="BR36" s="694" t="s">
        <v>1039</v>
      </c>
      <c r="BS36" s="722" t="str">
        <f>IF($BO$2&gt;0,"",IFERROR((BS55+BS43),""))</f>
        <v/>
      </c>
      <c r="BT36" s="706"/>
      <c r="BU36" s="793" t="s">
        <v>1035</v>
      </c>
      <c r="BV36" s="707"/>
      <c r="BW36" s="707"/>
      <c r="BX36" s="654"/>
      <c r="BY36" s="58" t="s">
        <v>1148</v>
      </c>
      <c r="BZ36" s="58" t="str">
        <f>IF(OR(Worksheet!S89=0,Worksheet!S89="",BO2&gt;0),"",Worksheet!S89)</f>
        <v/>
      </c>
    </row>
    <row r="37" spans="1:78" ht="12.9" customHeight="1">
      <c r="A37" s="109"/>
      <c r="B37" s="594"/>
      <c r="C37" s="158"/>
      <c r="D37" s="158"/>
      <c r="E37" s="84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01"/>
      <c r="AD37" s="901"/>
      <c r="AE37" s="247"/>
      <c r="AF37" s="247"/>
      <c r="AG37" s="247"/>
      <c r="AH37" s="58"/>
      <c r="AI37" s="1169" t="str">
        <f>IF(BS62&lt;0,"negative result check inputs",IF($BS$63=0,"result is below 10th %ile",IF($BS$62&gt;$BS$63,"result is above 90th %ile","")))</f>
        <v/>
      </c>
      <c r="AJ37" s="1169"/>
      <c r="AK37" s="1169"/>
      <c r="AL37" s="1169"/>
      <c r="AM37" s="247"/>
      <c r="AN37" s="247"/>
      <c r="AO37" s="247"/>
      <c r="AP37" s="247"/>
      <c r="AQ37" s="247"/>
      <c r="AR37" s="247"/>
      <c r="AS37" s="247"/>
      <c r="AT37" s="1169" t="str">
        <f>IF(BS69&lt;0,"negative result check inputs",IF($BS$70=0,"result is below 10th %ile",IF($BS$69&gt;$BS$70,"result is above 90th %ile","")))</f>
        <v/>
      </c>
      <c r="AU37" s="1169"/>
      <c r="AV37" s="1169"/>
      <c r="AW37" s="1169"/>
      <c r="AX37" s="247"/>
      <c r="AY37" s="247"/>
      <c r="AZ37" s="247"/>
      <c r="BA37" s="247"/>
      <c r="BB37" s="336"/>
      <c r="BC37" s="109"/>
      <c r="BD37" s="230"/>
      <c r="BF37" s="229"/>
      <c r="BN37" s="724" t="s">
        <v>1034</v>
      </c>
      <c r="BO37" s="706" t="s">
        <v>1033</v>
      </c>
      <c r="BP37" s="707">
        <f>SUM(BP38:BP41)</f>
        <v>125.15100211248117</v>
      </c>
      <c r="BQ37" s="728">
        <f>IF($BD$7="ML/Yr",BW37,BU37)</f>
        <v>21.095211492757553</v>
      </c>
      <c r="BR37" s="694" t="s">
        <v>1038</v>
      </c>
      <c r="BS37" s="730" t="str">
        <f>IF(BS36="","",IF(BS36&lt;BQ37,0,IF(BS36&gt;BQ41,BQ41,BS36)))</f>
        <v/>
      </c>
      <c r="BT37" s="706" t="s">
        <v>1033</v>
      </c>
      <c r="BU37" s="718">
        <v>21.095211492757553</v>
      </c>
      <c r="BV37" s="707"/>
      <c r="BW37" s="712">
        <f>BU37*3.78541</f>
        <v>79.854024536799372</v>
      </c>
      <c r="BX37" s="655"/>
      <c r="BY37" s="58" t="s">
        <v>1149</v>
      </c>
      <c r="BZ37" s="58" t="str">
        <f>IF(BZ36="","",IF(BZ36&lt;BQ37,0,IF(BZ36&gt;BQ41,BQ41,BZ36)))</f>
        <v/>
      </c>
    </row>
    <row r="38" spans="1:78" ht="12.9" customHeight="1">
      <c r="A38" s="109"/>
      <c r="B38" s="594"/>
      <c r="C38" s="158"/>
      <c r="D38" s="158"/>
      <c r="E38" s="84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01"/>
      <c r="AD38" s="901"/>
      <c r="AE38" s="247"/>
      <c r="AF38" s="247"/>
      <c r="AG38" s="247"/>
      <c r="AH38" s="733"/>
      <c r="AI38" s="1169"/>
      <c r="AJ38" s="1169"/>
      <c r="AK38" s="1169"/>
      <c r="AL38" s="1169"/>
      <c r="AM38" s="247"/>
      <c r="AN38" s="247"/>
      <c r="AO38" s="247"/>
      <c r="AP38" s="247"/>
      <c r="AQ38" s="247"/>
      <c r="AR38" s="247"/>
      <c r="AS38" s="247"/>
      <c r="AT38" s="1169"/>
      <c r="AU38" s="1169"/>
      <c r="AV38" s="1169"/>
      <c r="AW38" s="1169"/>
      <c r="AX38" s="247"/>
      <c r="AY38" s="247"/>
      <c r="AZ38" s="247"/>
      <c r="BA38" s="247"/>
      <c r="BB38" s="336"/>
      <c r="BC38" s="109"/>
      <c r="BD38" s="230"/>
      <c r="BF38" s="229"/>
      <c r="BO38" s="706" t="s">
        <v>1011</v>
      </c>
      <c r="BP38" s="703">
        <f>BQ38</f>
        <v>29.480551398162277</v>
      </c>
      <c r="BQ38" s="728">
        <f t="shared" ref="BQ38:BQ41" si="3">IF($BD$7="ML/Yr",BW38,BU38)</f>
        <v>29.480551398162277</v>
      </c>
      <c r="BR38" s="706" t="s">
        <v>1037</v>
      </c>
      <c r="BS38" s="710">
        <f>SUM(BP37:BP41)/125</f>
        <v>2.0024160337996988</v>
      </c>
      <c r="BT38" s="706" t="s">
        <v>1011</v>
      </c>
      <c r="BU38" s="719">
        <v>29.480551398162277</v>
      </c>
      <c r="BV38" s="707"/>
      <c r="BW38" s="712">
        <f>BU38*3.78541</f>
        <v>111.59597406811747</v>
      </c>
      <c r="BX38" s="58" t="s">
        <v>1019</v>
      </c>
      <c r="BY38" s="706" t="s">
        <v>1037</v>
      </c>
      <c r="BZ38" s="710" t="str">
        <f>IF(BZ37="","",SUM(BP37:BP41)/250)</f>
        <v/>
      </c>
    </row>
    <row r="39" spans="1:78" ht="12.9" customHeight="1">
      <c r="A39" s="109"/>
      <c r="B39" s="594"/>
      <c r="C39" s="158"/>
      <c r="D39" s="158"/>
      <c r="E39" s="84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09"/>
      <c r="AI39" s="609"/>
      <c r="AJ39" s="670"/>
      <c r="AK39" s="670"/>
      <c r="AL39" s="675"/>
      <c r="AM39" s="247"/>
      <c r="AN39" s="247"/>
      <c r="AO39" s="247"/>
      <c r="AP39" s="247"/>
      <c r="AQ39" s="247"/>
      <c r="AR39" s="247"/>
      <c r="AS39" s="247"/>
      <c r="AT39" s="247"/>
      <c r="AU39" s="247"/>
      <c r="AV39" s="247"/>
      <c r="AW39" s="673"/>
      <c r="AX39" s="247"/>
      <c r="AY39" s="247"/>
      <c r="AZ39" s="247"/>
      <c r="BA39" s="247"/>
      <c r="BB39" s="336"/>
      <c r="BC39" s="109"/>
      <c r="BD39" s="230"/>
      <c r="BF39" s="229"/>
      <c r="BO39" s="706" t="s">
        <v>1031</v>
      </c>
      <c r="BP39" s="703">
        <f>BQ39-BQ38</f>
        <v>15.908823434416718</v>
      </c>
      <c r="BQ39" s="728">
        <f t="shared" si="3"/>
        <v>45.389374832578994</v>
      </c>
      <c r="BR39" s="706" t="s">
        <v>773</v>
      </c>
      <c r="BS39" s="710">
        <f>SUM(BP37:BP41)-SUM(BS37,BS38)</f>
        <v>248.29958819116263</v>
      </c>
      <c r="BT39" s="706" t="s">
        <v>1031</v>
      </c>
      <c r="BU39" s="719">
        <v>45.389374832578994</v>
      </c>
      <c r="BV39" s="707"/>
      <c r="BW39" s="712">
        <f t="shared" ref="BW39:BW41" si="4">BU39*3.78541</f>
        <v>171.81739338499287</v>
      </c>
      <c r="BX39" s="58" t="s">
        <v>1025</v>
      </c>
      <c r="BY39" s="706" t="s">
        <v>773</v>
      </c>
      <c r="BZ39" s="710" t="str">
        <f>IF(BZ38="","",SUM(BP37:BP41)-SUM(BZ37,BZ38))</f>
        <v/>
      </c>
    </row>
    <row r="40" spans="1:78" ht="12.9" customHeight="1">
      <c r="A40" s="109"/>
      <c r="B40" s="594"/>
      <c r="C40" s="58"/>
      <c r="D40" s="247"/>
      <c r="E40" s="84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83" t="s">
        <v>31</v>
      </c>
      <c r="AK40" s="693"/>
      <c r="AL40" s="695"/>
      <c r="AM40" s="692"/>
      <c r="AN40" s="692"/>
      <c r="AO40" s="692"/>
      <c r="AP40" s="692"/>
      <c r="AQ40" s="692"/>
      <c r="AR40" s="692"/>
      <c r="AS40" s="692"/>
      <c r="AT40" s="692"/>
      <c r="AU40" s="783" t="s">
        <v>1169</v>
      </c>
      <c r="AV40" s="692"/>
      <c r="AW40" s="247"/>
      <c r="AX40" s="247"/>
      <c r="AY40" s="247"/>
      <c r="AZ40" s="247"/>
      <c r="BA40" s="247"/>
      <c r="BB40" s="336"/>
      <c r="BC40" s="109"/>
      <c r="BD40" s="230"/>
      <c r="BE40" s="230"/>
      <c r="BF40" s="230"/>
      <c r="BG40" s="230"/>
      <c r="BO40" s="706" t="s">
        <v>1012</v>
      </c>
      <c r="BP40" s="703">
        <f>BQ40-BQ39</f>
        <v>30.842317024915928</v>
      </c>
      <c r="BQ40" s="728">
        <f t="shared" si="3"/>
        <v>76.231691857494923</v>
      </c>
      <c r="BR40" s="706"/>
      <c r="BS40" s="706"/>
      <c r="BT40" s="706" t="s">
        <v>1012</v>
      </c>
      <c r="BU40" s="719">
        <v>76.231691857494923</v>
      </c>
      <c r="BV40" s="707"/>
      <c r="BW40" s="712">
        <f t="shared" si="4"/>
        <v>288.56820867427984</v>
      </c>
      <c r="BX40" s="58" t="s">
        <v>1026</v>
      </c>
    </row>
    <row r="41" spans="1:78" ht="12.9" customHeight="1">
      <c r="A41" s="109"/>
      <c r="B41" s="594"/>
      <c r="C41" s="58"/>
      <c r="D41" s="247"/>
      <c r="E41" s="84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73" t="str">
        <f>BS62</f>
        <v/>
      </c>
      <c r="AI41" s="1173"/>
      <c r="AJ41" s="1173"/>
      <c r="AK41" s="859" t="s">
        <v>1040</v>
      </c>
      <c r="AL41" s="788"/>
      <c r="AM41" s="789"/>
      <c r="AN41" s="785"/>
      <c r="AO41" s="785"/>
      <c r="AP41" s="785"/>
      <c r="AQ41" s="785"/>
      <c r="AR41" s="785"/>
      <c r="AS41" s="1172" t="str">
        <f>BS69</f>
        <v/>
      </c>
      <c r="AT41" s="1172"/>
      <c r="AU41" s="1172"/>
      <c r="AV41" s="859" t="str">
        <f>BD11</f>
        <v/>
      </c>
      <c r="AW41" s="247"/>
      <c r="AX41" s="247"/>
      <c r="AY41" s="247"/>
      <c r="AZ41" s="247"/>
      <c r="BA41" s="247"/>
      <c r="BB41" s="336"/>
      <c r="BC41" s="109"/>
      <c r="BD41" s="230"/>
      <c r="BE41" s="230"/>
      <c r="BF41" s="230"/>
      <c r="BG41" s="230"/>
      <c r="BO41" s="706" t="s">
        <v>1013</v>
      </c>
      <c r="BP41" s="703">
        <f>BQ41-BQ40</f>
        <v>48.919310254986243</v>
      </c>
      <c r="BQ41" s="728">
        <f t="shared" si="3"/>
        <v>125.15100211248117</v>
      </c>
      <c r="BR41" s="706"/>
      <c r="BS41" s="706"/>
      <c r="BT41" s="706" t="s">
        <v>1013</v>
      </c>
      <c r="BU41" s="719">
        <v>125.15100211248117</v>
      </c>
      <c r="BV41" s="707"/>
      <c r="BW41" s="712">
        <f t="shared" si="4"/>
        <v>473.74785490660736</v>
      </c>
      <c r="BX41" s="58" t="s">
        <v>1028</v>
      </c>
    </row>
    <row r="42" spans="1:78" ht="15" customHeight="1">
      <c r="A42" s="109"/>
      <c r="B42" s="594"/>
      <c r="C42" s="58"/>
      <c r="D42" s="247"/>
      <c r="E42" s="84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1210</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06"/>
      <c r="BP42" s="726" t="s">
        <v>1032</v>
      </c>
      <c r="BQ42" s="727" t="s">
        <v>1035</v>
      </c>
      <c r="BR42" s="706"/>
      <c r="BS42" s="706"/>
      <c r="BT42" s="706"/>
      <c r="BU42" s="707"/>
      <c r="BV42" s="707"/>
      <c r="BW42" s="707"/>
      <c r="BX42" s="716" t="s">
        <v>1027</v>
      </c>
    </row>
    <row r="43" spans="1:78" ht="15" customHeight="1">
      <c r="A43" s="109"/>
      <c r="B43" s="594"/>
      <c r="C43" s="463"/>
      <c r="D43" s="463"/>
      <c r="E43" s="225" t="s">
        <v>51</v>
      </c>
      <c r="F43" s="58"/>
      <c r="G43" s="58"/>
      <c r="H43" s="58"/>
      <c r="I43" s="58"/>
      <c r="J43" s="58"/>
      <c r="K43" s="58"/>
      <c r="L43" s="58"/>
      <c r="M43" s="464"/>
      <c r="N43" s="464"/>
      <c r="O43" s="225" t="s">
        <v>7</v>
      </c>
      <c r="P43" s="247"/>
      <c r="Q43" s="247"/>
      <c r="R43" s="247"/>
      <c r="S43" s="247"/>
      <c r="T43" s="247"/>
      <c r="U43" s="247"/>
      <c r="V43" s="247"/>
      <c r="W43" s="247"/>
      <c r="X43" s="247"/>
      <c r="Y43" s="58"/>
      <c r="Z43" s="1170" t="s">
        <v>1309</v>
      </c>
      <c r="AA43" s="1170"/>
      <c r="AB43" s="1170"/>
      <c r="AC43" s="1170"/>
      <c r="AD43" s="1170"/>
      <c r="AE43" s="1170"/>
      <c r="AF43" s="1170"/>
      <c r="AG43" s="1170"/>
      <c r="AH43" s="1170"/>
      <c r="AI43" s="1170"/>
      <c r="AJ43" s="1170"/>
      <c r="AK43" s="1171" t="str">
        <f>IF(OR(ISBLANK('Start Page'!$AB$22),LEN(Worksheet!C70)&gt;0),"",VLOOKUP(BD7,BD18:BE20,2,FALSE))</f>
        <v/>
      </c>
      <c r="AL43" s="1171"/>
      <c r="AM43" s="1171"/>
      <c r="AN43" s="1171"/>
      <c r="AO43" s="905" t="str">
        <f>BD7</f>
        <v/>
      </c>
      <c r="AP43" s="690"/>
      <c r="AQ43" s="690"/>
      <c r="AR43" s="690"/>
      <c r="AS43" s="1171" t="str">
        <f>IF(BG19=1,BF19,IFERROR(AK43*1000000/Worksheet!H62/365,""))</f>
        <v/>
      </c>
      <c r="AT43" s="1171"/>
      <c r="AU43" s="1171"/>
      <c r="AV43" s="1171"/>
      <c r="AW43" s="687" t="str">
        <f>BD10</f>
        <v/>
      </c>
      <c r="AX43" s="690"/>
      <c r="AY43" s="690"/>
      <c r="AZ43" s="690"/>
      <c r="BA43" s="247"/>
      <c r="BB43" s="336"/>
      <c r="BC43" s="109"/>
      <c r="BD43" s="228"/>
      <c r="BO43" s="705" t="s">
        <v>948</v>
      </c>
      <c r="BP43" s="705"/>
      <c r="BQ43" s="705"/>
      <c r="BR43" s="694" t="s">
        <v>1039</v>
      </c>
      <c r="BS43" s="722" t="str">
        <f>IF($BO$2&gt;0,"",IF(ISERROR(1/Worksheet!H62),"",IF('Start Page'!$AB$22="Acre-feet",Worksheet!H46*325851/1000000,Worksheet!H46)*1000000/365/Worksheet!H62))</f>
        <v/>
      </c>
      <c r="BT43" s="706"/>
      <c r="BU43" s="793" t="s">
        <v>1035</v>
      </c>
      <c r="BV43" s="707"/>
      <c r="BW43" s="707"/>
      <c r="BX43" s="728" t="s">
        <v>1036</v>
      </c>
      <c r="BY43" s="58" t="s">
        <v>1148</v>
      </c>
      <c r="BZ43" s="58" t="str">
        <f>IF(OR(Worksheet!S90=0,Worksheet!S90="",BO2&gt;0),"",Worksheet!S90)</f>
        <v/>
      </c>
    </row>
    <row r="44" spans="1:78" ht="15" customHeight="1">
      <c r="A44" s="109"/>
      <c r="B44" s="594"/>
      <c r="C44" s="653"/>
      <c r="D44" s="653"/>
      <c r="E44" s="225" t="s">
        <v>64</v>
      </c>
      <c r="F44" s="58"/>
      <c r="G44" s="58"/>
      <c r="H44" s="58"/>
      <c r="I44" s="58"/>
      <c r="J44" s="58"/>
      <c r="K44" s="58"/>
      <c r="L44" s="58"/>
      <c r="M44" s="246"/>
      <c r="N44" s="246"/>
      <c r="O44" s="225" t="s">
        <v>1240</v>
      </c>
      <c r="P44" s="247"/>
      <c r="Q44" s="247"/>
      <c r="R44" s="247"/>
      <c r="S44" s="247"/>
      <c r="T44" s="247"/>
      <c r="U44" s="247"/>
      <c r="V44" s="247"/>
      <c r="W44" s="247"/>
      <c r="X44" s="247"/>
      <c r="Y44" s="247"/>
      <c r="Z44" s="247"/>
      <c r="AA44" s="247"/>
      <c r="AB44" s="247"/>
      <c r="AC44" s="247"/>
      <c r="AD44" s="247"/>
      <c r="AE44" s="247"/>
      <c r="AF44" s="679"/>
      <c r="AG44" s="679"/>
      <c r="AH44" s="680"/>
      <c r="AI44" s="680"/>
      <c r="AJ44" s="679"/>
      <c r="AK44" s="679"/>
      <c r="AL44" s="679"/>
      <c r="AM44" s="679"/>
      <c r="AN44" s="679"/>
      <c r="AO44" s="679"/>
      <c r="AP44" s="679"/>
      <c r="AQ44" s="679"/>
      <c r="AR44" s="679"/>
      <c r="AS44" s="679"/>
      <c r="AT44" s="679"/>
      <c r="AU44" s="679"/>
      <c r="AV44" s="247"/>
      <c r="AW44" s="247"/>
      <c r="AX44" s="247"/>
      <c r="AY44" s="58"/>
      <c r="AZ44" s="58"/>
      <c r="BA44" s="58"/>
      <c r="BB44" s="340"/>
      <c r="BC44" s="109"/>
      <c r="BN44" s="724" t="s">
        <v>1034</v>
      </c>
      <c r="BO44" s="706" t="s">
        <v>1033</v>
      </c>
      <c r="BP44" s="707">
        <f>SUM(BP45:BP48)</f>
        <v>16.320999291962284</v>
      </c>
      <c r="BQ44" s="728">
        <f>IF($BD$7="ML/Yr",BW44,BU44)</f>
        <v>1.1863793690124249</v>
      </c>
      <c r="BR44" s="694" t="s">
        <v>1038</v>
      </c>
      <c r="BS44" s="730" t="str">
        <f>IF(BS43="","",IF(BS43&lt;BQ44,0,IF(BS43&gt;BQ48,BQ48,BS43)))</f>
        <v/>
      </c>
      <c r="BT44" s="706" t="s">
        <v>1033</v>
      </c>
      <c r="BU44" s="719">
        <v>1.1863793690124249</v>
      </c>
      <c r="BV44" s="707"/>
      <c r="BW44" s="712">
        <f>BU44*3.78541</f>
        <v>4.4909323272533239</v>
      </c>
      <c r="BX44" s="655"/>
      <c r="BY44" s="58" t="s">
        <v>1149</v>
      </c>
      <c r="BZ44" s="58" t="str">
        <f>IF(BZ43="","",IF(BZ43&lt;BQ44,0,IF(BZ43&gt;BQ48,BQ48,BZ43)))</f>
        <v/>
      </c>
    </row>
    <row r="45" spans="1:78" ht="15" customHeight="1">
      <c r="A45" s="109"/>
      <c r="B45" s="594"/>
      <c r="C45" s="647"/>
      <c r="D45" s="647"/>
      <c r="E45" s="225" t="s">
        <v>8</v>
      </c>
      <c r="F45" s="58"/>
      <c r="G45" s="58"/>
      <c r="H45" s="58"/>
      <c r="I45" s="58"/>
      <c r="J45" s="58"/>
      <c r="K45" s="58"/>
      <c r="L45" s="58"/>
      <c r="M45" s="902"/>
      <c r="N45" s="902"/>
      <c r="O45" s="225" t="s">
        <v>1241</v>
      </c>
      <c r="P45" s="247"/>
      <c r="Q45" s="247"/>
      <c r="R45" s="247"/>
      <c r="S45" s="247"/>
      <c r="T45" s="247"/>
      <c r="U45" s="247"/>
      <c r="V45" s="247"/>
      <c r="W45" s="247"/>
      <c r="X45" s="247"/>
      <c r="Y45" s="247"/>
      <c r="Z45" s="247"/>
      <c r="AA45" s="247"/>
      <c r="AB45" s="247"/>
      <c r="AC45" s="247"/>
      <c r="AD45" s="247"/>
      <c r="AE45" s="247"/>
      <c r="AF45" s="679"/>
      <c r="AG45" s="679"/>
      <c r="AH45" s="680"/>
      <c r="AI45" s="680"/>
      <c r="AJ45" s="679"/>
      <c r="AK45" s="679"/>
      <c r="AL45" s="679"/>
      <c r="AM45" s="679"/>
      <c r="AN45" s="679"/>
      <c r="AO45" s="679"/>
      <c r="AP45" s="679"/>
      <c r="AQ45" s="679"/>
      <c r="AR45" s="679"/>
      <c r="AS45" s="679"/>
      <c r="AT45" s="679"/>
      <c r="AU45" s="679"/>
      <c r="AV45" s="247"/>
      <c r="AW45" s="247"/>
      <c r="AX45" s="247"/>
      <c r="AY45" s="247"/>
      <c r="AZ45" s="247"/>
      <c r="BA45" s="247"/>
      <c r="BB45" s="340"/>
      <c r="BC45" s="109"/>
      <c r="BO45" s="706" t="s">
        <v>1011</v>
      </c>
      <c r="BP45" s="703">
        <f>BQ45</f>
        <v>2.7528558495753783</v>
      </c>
      <c r="BQ45" s="728">
        <f t="shared" ref="BQ45:BQ48" si="5">IF($BD$7="ML/Yr",BW45,BU45)</f>
        <v>2.7528558495753783</v>
      </c>
      <c r="BR45" s="706" t="s">
        <v>1037</v>
      </c>
      <c r="BS45" s="710">
        <f>SUM(BP44:BP48)/125</f>
        <v>0.26113598867139654</v>
      </c>
      <c r="BT45" s="706" t="s">
        <v>1011</v>
      </c>
      <c r="BU45" s="719">
        <v>2.7528558495753783</v>
      </c>
      <c r="BV45" s="707"/>
      <c r="BW45" s="712">
        <f t="shared" ref="BW45:BW48" si="6">BU45*3.78541</f>
        <v>10.420688061541133</v>
      </c>
      <c r="BX45" s="58" t="s">
        <v>1019</v>
      </c>
      <c r="BY45" s="706" t="s">
        <v>1037</v>
      </c>
      <c r="BZ45" s="710" t="str">
        <f>IF(BZ44="","",SUM(BP44:BP48)/250)</f>
        <v/>
      </c>
    </row>
    <row r="46" spans="1:78" ht="12.9" customHeight="1">
      <c r="A46" s="109"/>
      <c r="B46" s="594"/>
      <c r="C46" s="58"/>
      <c r="D46" s="247"/>
      <c r="E46" s="841"/>
      <c r="F46" s="247"/>
      <c r="G46" s="247"/>
      <c r="H46" s="247"/>
      <c r="I46" s="247"/>
      <c r="J46" s="247"/>
      <c r="K46" s="247"/>
      <c r="L46" s="247"/>
      <c r="M46" s="247"/>
      <c r="N46" s="247"/>
      <c r="O46" s="247"/>
      <c r="P46" s="247"/>
      <c r="Q46" s="247"/>
      <c r="R46" s="247"/>
      <c r="S46" s="1165" t="s">
        <v>1287</v>
      </c>
      <c r="T46" s="1165"/>
      <c r="U46" s="1165"/>
      <c r="V46" s="1165"/>
      <c r="W46" s="247"/>
      <c r="X46" s="247"/>
      <c r="Y46" s="247"/>
      <c r="Z46" s="247"/>
      <c r="AA46" s="247"/>
      <c r="AB46" s="247"/>
      <c r="AC46" s="247"/>
      <c r="AD46" s="247"/>
      <c r="AE46" s="247"/>
      <c r="AF46" s="679"/>
      <c r="AG46" s="679"/>
      <c r="AH46" s="680"/>
      <c r="AI46" s="680"/>
      <c r="AJ46" s="679"/>
      <c r="AK46" s="679"/>
      <c r="AL46" s="679"/>
      <c r="AM46" s="679"/>
      <c r="AN46" s="679"/>
      <c r="AO46" s="679"/>
      <c r="AP46" s="679"/>
      <c r="AQ46" s="679"/>
      <c r="AR46" s="679"/>
      <c r="AS46" s="679"/>
      <c r="AT46" s="679"/>
      <c r="AU46" s="679"/>
      <c r="AV46" s="247"/>
      <c r="AW46" s="247"/>
      <c r="AX46" s="247"/>
      <c r="AY46" s="247"/>
      <c r="AZ46" s="247"/>
      <c r="BA46" s="247"/>
      <c r="BB46" s="336"/>
      <c r="BC46" s="109"/>
      <c r="BO46" s="706" t="s">
        <v>1031</v>
      </c>
      <c r="BP46" s="703">
        <f>BQ46-BQ45</f>
        <v>2.5474471374368308</v>
      </c>
      <c r="BQ46" s="728">
        <f t="shared" si="5"/>
        <v>5.3003029870122091</v>
      </c>
      <c r="BR46" s="706" t="s">
        <v>773</v>
      </c>
      <c r="BS46" s="710">
        <f>SUM(BP44:BP48)-SUM(BS44,BS45)</f>
        <v>32.38086259525317</v>
      </c>
      <c r="BT46" s="706" t="s">
        <v>1031</v>
      </c>
      <c r="BU46" s="719">
        <v>5.3003029870122091</v>
      </c>
      <c r="BV46" s="707"/>
      <c r="BW46" s="712">
        <f t="shared" si="6"/>
        <v>20.063819930065886</v>
      </c>
      <c r="BX46" s="58" t="s">
        <v>1025</v>
      </c>
      <c r="BY46" s="706" t="s">
        <v>773</v>
      </c>
      <c r="BZ46" s="710" t="str">
        <f>IF(BZ45="","",SUM(BP44:BP48)-SUM(BZ44,BZ45))</f>
        <v/>
      </c>
    </row>
    <row r="47" spans="1:78" ht="12.9" customHeight="1">
      <c r="A47" s="109"/>
      <c r="B47" s="594"/>
      <c r="C47" s="58"/>
      <c r="D47" s="247"/>
      <c r="E47" s="841"/>
      <c r="F47" s="247"/>
      <c r="G47" s="247"/>
      <c r="H47" s="247"/>
      <c r="I47" s="1159" t="s">
        <v>678</v>
      </c>
      <c r="J47" s="1159"/>
      <c r="K47" s="1159"/>
      <c r="L47" s="1159"/>
      <c r="M47" s="687"/>
      <c r="N47" s="1159" t="s">
        <v>679</v>
      </c>
      <c r="O47" s="1159"/>
      <c r="P47" s="1159"/>
      <c r="Q47" s="1159"/>
      <c r="R47" s="949"/>
      <c r="S47" s="1165" t="s">
        <v>1288</v>
      </c>
      <c r="T47" s="1165"/>
      <c r="U47" s="1165"/>
      <c r="V47" s="1165"/>
      <c r="W47" s="247"/>
      <c r="X47" s="247"/>
      <c r="Y47" s="247"/>
      <c r="Z47" s="247"/>
      <c r="AA47" s="247"/>
      <c r="AB47" s="247"/>
      <c r="AC47" s="247"/>
      <c r="AD47" s="247"/>
      <c r="AE47" s="247"/>
      <c r="AF47" s="679"/>
      <c r="AG47" s="679"/>
      <c r="AH47" s="680"/>
      <c r="AI47" s="680"/>
      <c r="AJ47" s="679"/>
      <c r="AK47" s="679"/>
      <c r="AL47" s="679"/>
      <c r="AM47" s="679"/>
      <c r="AN47" s="679"/>
      <c r="AO47" s="679"/>
      <c r="AP47" s="679"/>
      <c r="AQ47" s="679"/>
      <c r="AR47" s="679"/>
      <c r="AS47" s="679"/>
      <c r="AT47" s="679"/>
      <c r="AU47" s="679"/>
      <c r="AV47" s="247"/>
      <c r="AW47" s="247"/>
      <c r="AX47" s="247"/>
      <c r="AY47" s="247"/>
      <c r="AZ47" s="247"/>
      <c r="BA47" s="247"/>
      <c r="BB47" s="336"/>
      <c r="BC47" s="109"/>
      <c r="BO47" s="706" t="s">
        <v>1012</v>
      </c>
      <c r="BP47" s="703">
        <f>BQ47-BQ46</f>
        <v>4.0544051080008483</v>
      </c>
      <c r="BQ47" s="728">
        <f t="shared" si="5"/>
        <v>9.3547080950130574</v>
      </c>
      <c r="BR47" s="706"/>
      <c r="BS47" s="706"/>
      <c r="BT47" s="706" t="s">
        <v>1012</v>
      </c>
      <c r="BU47" s="719">
        <v>9.3547080950130574</v>
      </c>
      <c r="BV47" s="707"/>
      <c r="BW47" s="712">
        <f t="shared" si="6"/>
        <v>35.411405569943376</v>
      </c>
      <c r="BX47" s="58" t="s">
        <v>1026</v>
      </c>
    </row>
    <row r="48" spans="1:78" ht="15" customHeight="1">
      <c r="A48" s="109"/>
      <c r="B48" s="594"/>
      <c r="C48" s="158"/>
      <c r="D48" s="158"/>
      <c r="E48" s="841"/>
      <c r="F48" s="158"/>
      <c r="G48" s="158"/>
      <c r="H48" s="158"/>
      <c r="I48" s="1159" t="str">
        <f>BD7</f>
        <v/>
      </c>
      <c r="J48" s="1159"/>
      <c r="K48" s="1159"/>
      <c r="L48" s="1159"/>
      <c r="M48" s="687"/>
      <c r="N48" s="1159" t="s">
        <v>677</v>
      </c>
      <c r="O48" s="1159"/>
      <c r="P48" s="1159"/>
      <c r="Q48" s="1159"/>
      <c r="R48" s="949"/>
      <c r="S48" s="1166" t="s">
        <v>1323</v>
      </c>
      <c r="T48" s="1166"/>
      <c r="U48" s="1166"/>
      <c r="V48" s="1166"/>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73"/>
      <c r="AV48" s="247"/>
      <c r="AW48" s="247"/>
      <c r="AX48" s="247"/>
      <c r="AY48" s="247"/>
      <c r="AZ48" s="247"/>
      <c r="BA48" s="247"/>
      <c r="BB48" s="336"/>
      <c r="BC48" s="109"/>
      <c r="BD48" s="230"/>
      <c r="BE48" s="230"/>
      <c r="BF48" s="230"/>
      <c r="BG48" s="230"/>
      <c r="BO48" s="706" t="s">
        <v>1013</v>
      </c>
      <c r="BP48" s="703">
        <f>BQ48-BQ47</f>
        <v>6.9662911969492267</v>
      </c>
      <c r="BQ48" s="728">
        <f t="shared" si="5"/>
        <v>16.320999291962284</v>
      </c>
      <c r="BR48" s="706"/>
      <c r="BS48" s="706"/>
      <c r="BT48" s="706" t="s">
        <v>1013</v>
      </c>
      <c r="BU48" s="719">
        <v>16.320999291962284</v>
      </c>
      <c r="BV48" s="707"/>
      <c r="BW48" s="712">
        <f t="shared" si="6"/>
        <v>61.781673929786955</v>
      </c>
      <c r="BX48" s="58" t="s">
        <v>1028</v>
      </c>
    </row>
    <row r="49" spans="1:78" ht="15" customHeight="1">
      <c r="A49" s="109"/>
      <c r="B49" s="594"/>
      <c r="C49" s="158"/>
      <c r="D49" s="158"/>
      <c r="E49" s="841"/>
      <c r="F49" s="158"/>
      <c r="G49" s="158"/>
      <c r="H49" s="232" t="s">
        <v>50</v>
      </c>
      <c r="I49" s="1160" t="str">
        <f>IF(ISBLANK('Start Page'!$AB$22),"",Worksheet!H46)</f>
        <v/>
      </c>
      <c r="J49" s="1160"/>
      <c r="K49" s="1160"/>
      <c r="L49" s="1160"/>
      <c r="M49" s="673"/>
      <c r="N49" s="1161" t="str">
        <f>IF(OR(ISBLANK('Start Page'!$AB$22),ISBLANK(Worksheet!J76)),"",(SUM(Worksheet!H43+Worksheet!H39+Worksheet!X50)*Worksheet!H76)*INDEX(Sheet1!B2:D4,MATCH('Start Page'!AB22,Sheet1!A2:A4,0),MATCH(Worksheet!J76,Sheet1!B1:D1,0))+Worksheet!Y50*Worksheet!H77)</f>
        <v/>
      </c>
      <c r="O49" s="1161"/>
      <c r="P49" s="1161"/>
      <c r="Q49" s="1161"/>
      <c r="R49" s="247"/>
      <c r="S49" s="1167" t="str">
        <f>IFERROR('Carbon Calculations'!$C$8*Dashboard!I49,"")</f>
        <v/>
      </c>
      <c r="T49" s="1167"/>
      <c r="U49" s="1167"/>
      <c r="V49" s="1167"/>
      <c r="W49" s="689"/>
      <c r="X49" s="247"/>
      <c r="Y49" s="247"/>
      <c r="Z49" s="247"/>
      <c r="AA49" s="247"/>
      <c r="AB49" s="247"/>
      <c r="AC49" s="247"/>
      <c r="AD49" s="247"/>
      <c r="AE49" s="247"/>
      <c r="AF49" s="247"/>
      <c r="AG49" s="247"/>
      <c r="AH49" s="247"/>
      <c r="AI49" s="247"/>
      <c r="AJ49" s="247"/>
      <c r="AK49" s="247"/>
      <c r="AL49" s="247"/>
      <c r="AM49" s="679"/>
      <c r="AN49" s="679"/>
      <c r="AO49" s="679"/>
      <c r="AP49" s="679"/>
      <c r="AQ49" s="679"/>
      <c r="AR49" s="679"/>
      <c r="AS49" s="679"/>
      <c r="AT49" s="679"/>
      <c r="AU49" s="679"/>
      <c r="AV49" s="247"/>
      <c r="AW49" s="247"/>
      <c r="AX49" s="247"/>
      <c r="AY49" s="247"/>
      <c r="AZ49" s="247"/>
      <c r="BA49" s="247"/>
      <c r="BB49" s="336"/>
      <c r="BC49" s="109"/>
      <c r="BD49" s="228"/>
      <c r="BO49" s="706"/>
      <c r="BP49" s="706"/>
      <c r="BQ49" s="706"/>
      <c r="BR49" s="706"/>
      <c r="BS49" s="706"/>
      <c r="BT49" s="706"/>
      <c r="BU49" s="707"/>
      <c r="BV49" s="707"/>
      <c r="BW49" s="707"/>
      <c r="BX49" s="716" t="s">
        <v>1027</v>
      </c>
    </row>
    <row r="50" spans="1:78" ht="15" customHeight="1">
      <c r="A50" s="109"/>
      <c r="B50" s="594"/>
      <c r="C50" s="158"/>
      <c r="D50" s="158"/>
      <c r="E50" s="841"/>
      <c r="F50" s="158"/>
      <c r="G50" s="158"/>
      <c r="H50" s="232" t="s">
        <v>51</v>
      </c>
      <c r="I50" s="1160" t="str">
        <f>IF(ISBLANK('Start Page'!$AB$22),"",Worksheet!H51)</f>
        <v/>
      </c>
      <c r="J50" s="1160"/>
      <c r="K50" s="1160"/>
      <c r="L50" s="1160"/>
      <c r="M50" s="673"/>
      <c r="N50" s="1161" t="str">
        <f>IFERROR(IF(Worksheet!H41="Select under/over","",IF(ISBLANK('Start Page'!AB22),"",Worksheet!H51*(IF(BD29=FALSE,Worksheet!H77,IF(BD29=TRUE,Worksheet!H76*INDEX(Sheet1!B2:D4,MATCH('Start Page'!AB22,Sheet1!A2:A4,0),MATCH(Worksheet!J76,Sheet1!B1:D1,0)),""))))),"")</f>
        <v/>
      </c>
      <c r="O50" s="1161"/>
      <c r="P50" s="1161"/>
      <c r="Q50" s="1161"/>
      <c r="R50" s="247"/>
      <c r="S50" s="1167" t="str">
        <f>IFERROR('Carbon Calculations'!$C$8*Dashboard!I50,"")</f>
        <v/>
      </c>
      <c r="T50" s="1167"/>
      <c r="U50" s="1167"/>
      <c r="V50" s="1167"/>
      <c r="W50" s="247"/>
      <c r="X50" s="247"/>
      <c r="Y50" s="247"/>
      <c r="Z50" s="247"/>
      <c r="AA50" s="247"/>
      <c r="AB50" s="247"/>
      <c r="AC50" s="247"/>
      <c r="AD50" s="247"/>
      <c r="AE50" s="247"/>
      <c r="AF50" s="247"/>
      <c r="AG50" s="247"/>
      <c r="AH50" s="247"/>
      <c r="AI50" s="247"/>
      <c r="AJ50" s="247"/>
      <c r="AK50" s="247"/>
      <c r="AL50" s="247"/>
      <c r="AM50" s="679"/>
      <c r="AN50" s="679"/>
      <c r="AO50" s="679"/>
      <c r="AP50" s="679"/>
      <c r="AQ50" s="679"/>
      <c r="AR50" s="679"/>
      <c r="AS50" s="679"/>
      <c r="AT50" s="679"/>
      <c r="AU50" s="679"/>
      <c r="AV50" s="247"/>
      <c r="AW50" s="247"/>
      <c r="AX50" s="247"/>
      <c r="AY50" s="247"/>
      <c r="AZ50" s="247"/>
      <c r="BA50" s="247"/>
      <c r="BB50" s="340"/>
      <c r="BC50" s="109"/>
      <c r="BU50" s="58"/>
      <c r="BV50" s="707"/>
      <c r="BW50" s="58"/>
      <c r="BX50" s="728" t="s">
        <v>1036</v>
      </c>
    </row>
    <row r="51" spans="1:78" ht="15" customHeight="1">
      <c r="A51" s="109"/>
      <c r="B51" s="594"/>
      <c r="C51" s="158"/>
      <c r="D51" s="158"/>
      <c r="E51" s="841"/>
      <c r="F51" s="158"/>
      <c r="G51" s="158"/>
      <c r="H51" s="232" t="s">
        <v>1242</v>
      </c>
      <c r="I51" s="1160" t="str">
        <f>IF(ISBLANK('Start Page'!$AB$22),"",SUM(Worksheet!H25:H26))</f>
        <v/>
      </c>
      <c r="J51" s="1160"/>
      <c r="K51" s="1160"/>
      <c r="L51" s="1160"/>
      <c r="M51" s="673"/>
      <c r="N51" s="1161" t="str">
        <f>IFERROR(IF(SUM(Sheet1!D90:D91)=0,"",SUM(Sheet1!D90:D91)),"")</f>
        <v/>
      </c>
      <c r="O51" s="1161"/>
      <c r="P51" s="1161"/>
      <c r="Q51" s="1161"/>
      <c r="R51" s="247"/>
      <c r="S51" s="1167" t="str">
        <f>IFERROR('Carbon Calculations'!$C$8*Dashboard!I51,"")</f>
        <v/>
      </c>
      <c r="T51" s="1167"/>
      <c r="U51" s="1167"/>
      <c r="V51" s="1167"/>
      <c r="W51" s="247"/>
      <c r="X51" s="247"/>
      <c r="Y51" s="247"/>
      <c r="Z51" s="247"/>
      <c r="AA51" s="247"/>
      <c r="AB51" s="247"/>
      <c r="AC51" s="247"/>
      <c r="AD51" s="247"/>
      <c r="AE51" s="247"/>
      <c r="AF51" s="247"/>
      <c r="AG51" s="247"/>
      <c r="AH51" s="247"/>
      <c r="AI51" s="247"/>
      <c r="AJ51" s="247"/>
      <c r="AK51" s="247"/>
      <c r="AL51" s="247"/>
      <c r="AM51" s="679"/>
      <c r="AN51" s="679"/>
      <c r="AO51" s="679"/>
      <c r="AP51" s="679"/>
      <c r="AQ51" s="679"/>
      <c r="AR51" s="679"/>
      <c r="AS51" s="679"/>
      <c r="AT51" s="679"/>
      <c r="AU51" s="679"/>
      <c r="AV51" s="247"/>
      <c r="AW51" s="247"/>
      <c r="AX51" s="247"/>
      <c r="AY51" s="247"/>
      <c r="AZ51" s="247"/>
      <c r="BA51" s="247"/>
      <c r="BB51" s="340"/>
      <c r="BC51" s="109"/>
      <c r="BU51" s="58"/>
      <c r="BV51" s="707"/>
      <c r="BW51" s="58"/>
      <c r="BX51" s="655"/>
    </row>
    <row r="52" spans="1:78" ht="15" customHeight="1">
      <c r="A52" s="109"/>
      <c r="B52" s="594"/>
      <c r="C52" s="158"/>
      <c r="D52" s="158"/>
      <c r="E52" s="841"/>
      <c r="F52" s="158"/>
      <c r="G52" s="158"/>
      <c r="H52" s="232" t="s">
        <v>676</v>
      </c>
      <c r="I52" s="1160" t="str">
        <f>IF(SUM(I49:I51)=0,"",SUM(I49:I51))</f>
        <v/>
      </c>
      <c r="J52" s="1160"/>
      <c r="K52" s="1160"/>
      <c r="L52" s="1160"/>
      <c r="M52" s="673"/>
      <c r="N52" s="1161" t="str">
        <f>IF(SUM(N49:N51)=0,"",SUM(N49:N51))</f>
        <v/>
      </c>
      <c r="O52" s="1161"/>
      <c r="P52" s="1161"/>
      <c r="Q52" s="1161"/>
      <c r="R52" s="247"/>
      <c r="S52" s="1167" t="str">
        <f>IFERROR('Carbon Calculations'!$C$8*Dashboard!I52,"")</f>
        <v/>
      </c>
      <c r="T52" s="1167"/>
      <c r="U52" s="1167"/>
      <c r="V52" s="1167"/>
      <c r="W52" s="247"/>
      <c r="X52" s="247"/>
      <c r="Y52" s="247"/>
      <c r="Z52" s="247"/>
      <c r="AA52" s="247"/>
      <c r="AB52" s="247"/>
      <c r="AC52" s="247"/>
      <c r="AD52" s="247"/>
      <c r="AE52" s="247"/>
      <c r="AF52" s="247"/>
      <c r="AG52" s="247"/>
      <c r="AH52" s="247"/>
      <c r="AI52" s="247"/>
      <c r="AJ52" s="247"/>
      <c r="AK52" s="247"/>
      <c r="AL52" s="247"/>
      <c r="AM52" s="679"/>
      <c r="AN52" s="679"/>
      <c r="AO52" s="679"/>
      <c r="AP52" s="679"/>
      <c r="AQ52" s="679"/>
      <c r="AR52" s="679"/>
      <c r="AS52" s="679"/>
      <c r="AT52" s="679"/>
      <c r="AU52" s="679"/>
      <c r="AV52" s="247"/>
      <c r="AW52" s="247"/>
      <c r="AX52" s="247"/>
      <c r="AY52" s="247"/>
      <c r="AZ52" s="247"/>
      <c r="BA52" s="247"/>
      <c r="BB52" s="336"/>
      <c r="BC52" s="109"/>
      <c r="BU52" s="58"/>
      <c r="BV52" s="707"/>
      <c r="BW52" s="58"/>
      <c r="BX52" s="655"/>
    </row>
    <row r="53" spans="1:78" ht="12.9" customHeight="1" thickBot="1">
      <c r="A53" s="109"/>
      <c r="B53" s="337"/>
      <c r="C53" s="338"/>
      <c r="D53" s="681"/>
      <c r="E53" s="843"/>
      <c r="F53" s="681"/>
      <c r="G53" s="681"/>
      <c r="H53" s="681"/>
      <c r="I53" s="681"/>
      <c r="J53" s="681"/>
      <c r="K53" s="681"/>
      <c r="L53" s="681"/>
      <c r="M53" s="681"/>
      <c r="N53" s="681"/>
      <c r="O53" s="681"/>
      <c r="P53" s="681"/>
      <c r="Q53" s="681"/>
      <c r="R53" s="681"/>
      <c r="S53" s="1162" t="s">
        <v>1294</v>
      </c>
      <c r="T53" s="1162"/>
      <c r="U53" s="1162"/>
      <c r="V53" s="1162"/>
      <c r="W53" s="681"/>
      <c r="X53" s="681"/>
      <c r="Y53" s="681"/>
      <c r="Z53" s="681"/>
      <c r="AA53" s="681"/>
      <c r="AB53" s="681"/>
      <c r="AC53" s="681"/>
      <c r="AD53" s="681"/>
      <c r="AE53" s="681"/>
      <c r="AF53" s="682"/>
      <c r="AG53" s="683"/>
      <c r="AH53" s="684"/>
      <c r="AI53" s="684"/>
      <c r="AJ53" s="683"/>
      <c r="AK53" s="681"/>
      <c r="AL53" s="681"/>
      <c r="AM53" s="681"/>
      <c r="AN53" s="681"/>
      <c r="AO53" s="681"/>
      <c r="AP53" s="681"/>
      <c r="AQ53" s="681"/>
      <c r="AR53" s="681"/>
      <c r="AS53" s="681"/>
      <c r="AT53" s="681"/>
      <c r="AU53" s="681"/>
      <c r="AV53" s="681"/>
      <c r="AW53" s="685"/>
      <c r="AX53" s="686"/>
      <c r="AY53" s="681"/>
      <c r="AZ53" s="681"/>
      <c r="BA53" s="681"/>
      <c r="BB53" s="339"/>
      <c r="BC53" s="109"/>
      <c r="BP53" s="726" t="s">
        <v>1032</v>
      </c>
      <c r="BQ53" s="727" t="s">
        <v>1035</v>
      </c>
      <c r="BU53" s="58"/>
      <c r="BV53" s="707"/>
      <c r="BW53" s="58"/>
      <c r="BX53" s="655"/>
    </row>
    <row r="54" spans="1:78" ht="6.75" customHeight="1" thickTop="1">
      <c r="A54" s="109">
        <v>0</v>
      </c>
      <c r="B54" s="109"/>
      <c r="C54" s="109"/>
      <c r="D54" s="109"/>
      <c r="E54" s="83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26"/>
      <c r="BQ54" s="727"/>
      <c r="BU54" s="58"/>
      <c r="BV54" s="707"/>
      <c r="BW54" s="58"/>
      <c r="BX54" s="655"/>
    </row>
    <row r="55" spans="1:78" ht="12.9" customHeight="1">
      <c r="A55" s="58"/>
      <c r="B55" s="58"/>
      <c r="C55" s="58"/>
      <c r="D55" s="58"/>
      <c r="E55" s="84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05" t="s">
        <v>1181</v>
      </c>
      <c r="BP55" s="705"/>
      <c r="BQ55" s="705"/>
      <c r="BR55" s="694" t="s">
        <v>1039</v>
      </c>
      <c r="BS55" s="722" t="str">
        <f>IF($BO$2&gt;0,"",IF(Worksheet!H51="","",IF(ISERROR(1/Worksheet!H62),"",IF('Start Page'!$AB$22="Megalitres (thousand cubic metres)",Worksheet!H51*1000000/365/Worksheet!H62,IF('Start Page'!$AB$22="Million gallons (US)",Worksheet!H51*1000000,Worksheet!H51*325851)/365/Worksheet!H62))))</f>
        <v/>
      </c>
      <c r="BT55" s="706"/>
      <c r="BU55" s="793" t="s">
        <v>1035</v>
      </c>
      <c r="BV55" s="707"/>
      <c r="BW55" s="707"/>
      <c r="BX55" s="655"/>
      <c r="BY55" s="58" t="s">
        <v>1148</v>
      </c>
      <c r="BZ55" s="58" t="str">
        <f>IF(OR(Worksheet!S91=0,Worksheet!S91="",BO2&gt;0),"",Worksheet!S91)</f>
        <v/>
      </c>
    </row>
    <row r="56" spans="1:78" ht="12.9" customHeight="1">
      <c r="A56" s="58"/>
      <c r="B56" s="58"/>
      <c r="C56" s="58"/>
      <c r="D56" s="58"/>
      <c r="E56" s="84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24" t="s">
        <v>1034</v>
      </c>
      <c r="BO56" s="706" t="s">
        <v>1033</v>
      </c>
      <c r="BP56" s="707">
        <f>SUM(BP57:BP60)</f>
        <v>115.43298001472428</v>
      </c>
      <c r="BQ56" s="728">
        <f>IF($BD$7="ML/Yr",BW56,BU56)</f>
        <v>16.277522142556361</v>
      </c>
      <c r="BR56" s="694" t="s">
        <v>1038</v>
      </c>
      <c r="BS56" s="730" t="str">
        <f>IF(BS55="","",IF(BS55&lt;BQ56,0,IF(BS55&gt;BQ60,BQ60,BS55)))</f>
        <v/>
      </c>
      <c r="BT56" s="706" t="s">
        <v>1033</v>
      </c>
      <c r="BU56" s="718">
        <v>16.277522142556361</v>
      </c>
      <c r="BV56" s="707"/>
      <c r="BW56" s="712">
        <f t="shared" ref="BW56:BW60" si="7">BU56*3.78541</f>
        <v>61.617095093654278</v>
      </c>
      <c r="BX56" s="655"/>
      <c r="BY56" s="58" t="s">
        <v>1149</v>
      </c>
      <c r="BZ56" s="58" t="str">
        <f>IF(BZ55="","",IF(BZ55&lt;BQ56,0,IF(BZ55&gt;BQ60,BQ60,BZ55)))</f>
        <v/>
      </c>
    </row>
    <row r="57" spans="1:78" ht="12.9" customHeight="1">
      <c r="A57" s="58"/>
      <c r="B57" s="58"/>
      <c r="C57" s="58"/>
      <c r="D57" s="58"/>
      <c r="E57" s="84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06" t="s">
        <v>1011</v>
      </c>
      <c r="BP57" s="703">
        <f>BQ57</f>
        <v>22.721688432860574</v>
      </c>
      <c r="BQ57" s="728">
        <f t="shared" ref="BQ57:BQ60" si="8">IF($BD$7="ML/Yr",BW57,BU57)</f>
        <v>22.721688432860574</v>
      </c>
      <c r="BR57" s="706" t="s">
        <v>1037</v>
      </c>
      <c r="BS57" s="710">
        <f>SUM(BP56:BP60)/125</f>
        <v>1.8469276802355887</v>
      </c>
      <c r="BT57" s="706" t="s">
        <v>1011</v>
      </c>
      <c r="BU57" s="718">
        <v>22.721688432860574</v>
      </c>
      <c r="BV57" s="707"/>
      <c r="BW57" s="712">
        <f t="shared" si="7"/>
        <v>86.010906610634748</v>
      </c>
      <c r="BX57" s="58" t="s">
        <v>1019</v>
      </c>
      <c r="BY57" s="706" t="s">
        <v>1037</v>
      </c>
      <c r="BZ57" s="710" t="str">
        <f>IF(BZ56="","",SUM(BP56:BP60)/250)</f>
        <v/>
      </c>
    </row>
    <row r="58" spans="1:78" ht="12.9" customHeight="1">
      <c r="A58" s="58"/>
      <c r="B58" s="58"/>
      <c r="C58" s="58"/>
      <c r="D58" s="58"/>
      <c r="E58" s="84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06" t="s">
        <v>1031</v>
      </c>
      <c r="BP58" s="703">
        <f>BQ58-BQ57</f>
        <v>14.053484230273789</v>
      </c>
      <c r="BQ58" s="728">
        <f t="shared" si="8"/>
        <v>36.775172663134363</v>
      </c>
      <c r="BR58" s="706" t="s">
        <v>773</v>
      </c>
      <c r="BS58" s="710">
        <f>SUM(BP56:BP60)-SUM(BS56,BS57)</f>
        <v>229.01903234921301</v>
      </c>
      <c r="BT58" s="706" t="s">
        <v>1031</v>
      </c>
      <c r="BU58" s="718">
        <v>36.775172663134363</v>
      </c>
      <c r="BV58" s="707"/>
      <c r="BW58" s="712">
        <f t="shared" si="7"/>
        <v>139.20910635075546</v>
      </c>
      <c r="BX58" s="58" t="s">
        <v>1025</v>
      </c>
      <c r="BY58" s="706" t="s">
        <v>773</v>
      </c>
      <c r="BZ58" s="710" t="str">
        <f>IF(BZ57="","",SUM(BP56:BP60)-SUM(BZ56,BZ57))</f>
        <v/>
      </c>
    </row>
    <row r="59" spans="1:78" ht="12.9" customHeight="1">
      <c r="A59" s="58"/>
      <c r="B59" s="58"/>
      <c r="C59" s="58"/>
      <c r="D59" s="58"/>
      <c r="E59" s="84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06" t="s">
        <v>1012</v>
      </c>
      <c r="BP59" s="703">
        <f>BQ59-BQ58</f>
        <v>29.603369869319486</v>
      </c>
      <c r="BQ59" s="728">
        <f t="shared" si="8"/>
        <v>66.378542532453849</v>
      </c>
      <c r="BR59" s="706"/>
      <c r="BS59" s="706"/>
      <c r="BT59" s="706" t="s">
        <v>1012</v>
      </c>
      <c r="BU59" s="718">
        <v>66.378542532453849</v>
      </c>
      <c r="BV59" s="707"/>
      <c r="BW59" s="712">
        <f t="shared" si="7"/>
        <v>251.26999868777614</v>
      </c>
      <c r="BX59" s="58" t="s">
        <v>1026</v>
      </c>
    </row>
    <row r="60" spans="1:78" ht="12.9" customHeight="1">
      <c r="A60" s="58"/>
      <c r="B60" s="58"/>
      <c r="C60" s="58"/>
      <c r="D60" s="58"/>
      <c r="E60" s="84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06" t="s">
        <v>1013</v>
      </c>
      <c r="BP60" s="703">
        <f>BQ60-BQ59</f>
        <v>49.05443748227043</v>
      </c>
      <c r="BQ60" s="728">
        <f t="shared" si="8"/>
        <v>115.43298001472428</v>
      </c>
      <c r="BR60" s="706"/>
      <c r="BS60" s="706"/>
      <c r="BT60" s="706" t="s">
        <v>1013</v>
      </c>
      <c r="BU60" s="718">
        <v>115.43298001472428</v>
      </c>
      <c r="BV60" s="707"/>
      <c r="BW60" s="712">
        <f t="shared" si="7"/>
        <v>436.96115687753746</v>
      </c>
      <c r="BX60" s="58" t="s">
        <v>1028</v>
      </c>
    </row>
    <row r="61" spans="1:78" ht="12.9" customHeight="1">
      <c r="A61" s="58"/>
      <c r="B61" s="58"/>
      <c r="C61" s="58"/>
      <c r="D61" s="58"/>
      <c r="E61" s="84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691"/>
      <c r="BP61" s="726" t="s">
        <v>1032</v>
      </c>
      <c r="BQ61" s="727" t="s">
        <v>1035</v>
      </c>
      <c r="BR61" s="691"/>
      <c r="BS61" s="691"/>
      <c r="BT61" s="691"/>
      <c r="BU61" s="709"/>
      <c r="BV61" s="707"/>
      <c r="BW61" s="709"/>
      <c r="BX61" s="716" t="s">
        <v>1027</v>
      </c>
    </row>
    <row r="62" spans="1:78" ht="12.9" customHeight="1">
      <c r="A62" s="58"/>
      <c r="B62" s="58"/>
      <c r="C62" s="58"/>
      <c r="D62" s="58"/>
      <c r="E62" s="84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05" t="s">
        <v>1017</v>
      </c>
      <c r="BP62" s="705"/>
      <c r="BQ62" s="705"/>
      <c r="BR62" s="694" t="s">
        <v>1039</v>
      </c>
      <c r="BS62" s="722" t="str">
        <f>IF($BO$2&gt;0,"",IFERROR(IF(ISERROR(1/AK43),"",I50/AK43),""))</f>
        <v/>
      </c>
      <c r="BT62" s="691"/>
      <c r="BU62" s="793" t="s">
        <v>1035</v>
      </c>
      <c r="BV62" s="709"/>
      <c r="BW62" s="709"/>
      <c r="BX62" s="728" t="s">
        <v>1036</v>
      </c>
    </row>
    <row r="63" spans="1:78" ht="15.6">
      <c r="A63" s="58"/>
      <c r="B63" s="58"/>
      <c r="C63" s="58"/>
      <c r="D63" s="58"/>
      <c r="E63" s="84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24" t="s">
        <v>1034</v>
      </c>
      <c r="BO63" s="706" t="s">
        <v>1033</v>
      </c>
      <c r="BP63" s="707">
        <f>SUM(BP64:BP67)</f>
        <v>5.6785169995812712</v>
      </c>
      <c r="BQ63" s="707">
        <f>BU63</f>
        <v>0.88524096981003719</v>
      </c>
      <c r="BR63" s="694" t="s">
        <v>1038</v>
      </c>
      <c r="BS63" s="730" t="str">
        <f>IF(BS62="","",IF(BS62&lt;BQ63,0,IF(BS62&gt;BQ67,BQ67,BS62)))</f>
        <v/>
      </c>
      <c r="BT63" s="706" t="s">
        <v>1033</v>
      </c>
      <c r="BU63" s="718">
        <v>0.88524096981003719</v>
      </c>
      <c r="BV63" s="709"/>
      <c r="BW63" s="709"/>
      <c r="BX63" s="655"/>
    </row>
    <row r="64" spans="1:78" ht="15.6">
      <c r="A64" s="58"/>
      <c r="B64" s="58"/>
      <c r="C64" s="58"/>
      <c r="D64" s="58"/>
      <c r="E64" s="84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06" t="s">
        <v>1011</v>
      </c>
      <c r="BP64" s="707">
        <f>BQ64</f>
        <v>1.1802115431372406</v>
      </c>
      <c r="BQ64" s="707">
        <f t="shared" ref="BQ64:BQ67" si="9">BU64</f>
        <v>1.1802115431372406</v>
      </c>
      <c r="BR64" s="706" t="s">
        <v>1037</v>
      </c>
      <c r="BS64" s="710">
        <f>SUM(BP63:BP67)/125</f>
        <v>9.0856271993300333E-2</v>
      </c>
      <c r="BT64" s="706" t="s">
        <v>1011</v>
      </c>
      <c r="BU64" s="718">
        <v>1.1802115431372406</v>
      </c>
      <c r="BV64" s="709"/>
      <c r="BW64" s="709"/>
      <c r="BX64" s="58" t="s">
        <v>1021</v>
      </c>
      <c r="BY64" s="706"/>
      <c r="BZ64" s="710"/>
    </row>
    <row r="65" spans="1:78" ht="15.6">
      <c r="A65" s="58"/>
      <c r="B65" s="58"/>
      <c r="C65" s="58"/>
      <c r="D65" s="58"/>
      <c r="E65" s="84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698"/>
      <c r="BF65" s="698"/>
      <c r="BG65" s="698"/>
      <c r="BH65" s="698"/>
      <c r="BI65" s="698"/>
      <c r="BJ65" s="698"/>
      <c r="BK65" s="698"/>
      <c r="BL65" s="698"/>
      <c r="BM65" s="158"/>
      <c r="BO65" s="706" t="s">
        <v>1031</v>
      </c>
      <c r="BP65" s="707">
        <f>BQ65-BQ64</f>
        <v>0.66786196495481698</v>
      </c>
      <c r="BQ65" s="707">
        <f t="shared" si="9"/>
        <v>1.8480735080920576</v>
      </c>
      <c r="BR65" s="706" t="s">
        <v>773</v>
      </c>
      <c r="BS65" s="710">
        <f>SUM(BP63:BP67)-SUM(BS63,BS64)</f>
        <v>11.266177727169243</v>
      </c>
      <c r="BT65" s="706" t="s">
        <v>1031</v>
      </c>
      <c r="BU65" s="718">
        <v>1.8480735080920576</v>
      </c>
      <c r="BV65" s="709"/>
      <c r="BW65" s="709"/>
      <c r="BY65" s="706"/>
      <c r="BZ65" s="710"/>
    </row>
    <row r="66" spans="1:78" ht="15.6">
      <c r="A66" s="58"/>
      <c r="B66" s="58"/>
      <c r="C66" s="58"/>
      <c r="D66" s="58"/>
      <c r="E66" s="84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06" t="s">
        <v>1012</v>
      </c>
      <c r="BP66" s="707">
        <f>BQ66-BQ65</f>
        <v>1.3196245561942783</v>
      </c>
      <c r="BQ66" s="707">
        <f t="shared" si="9"/>
        <v>3.1676980642863359</v>
      </c>
      <c r="BR66" s="706"/>
      <c r="BS66" s="706"/>
      <c r="BT66" s="706" t="s">
        <v>1012</v>
      </c>
      <c r="BU66" s="718">
        <v>3.1676980642863359</v>
      </c>
      <c r="BV66" s="709"/>
      <c r="BW66" s="709"/>
    </row>
    <row r="67" spans="1:78" ht="15.6">
      <c r="A67" s="58"/>
      <c r="B67" s="58"/>
      <c r="C67" s="58"/>
      <c r="D67" s="58"/>
      <c r="E67" s="84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06" t="s">
        <v>1013</v>
      </c>
      <c r="BP67" s="707">
        <f>BQ67-BQ66</f>
        <v>2.5108189352949353</v>
      </c>
      <c r="BQ67" s="707">
        <f t="shared" si="9"/>
        <v>5.6785169995812712</v>
      </c>
      <c r="BR67" s="706"/>
      <c r="BS67" s="706"/>
      <c r="BT67" s="706" t="s">
        <v>1013</v>
      </c>
      <c r="BU67" s="718">
        <v>5.6785169995812712</v>
      </c>
      <c r="BV67" s="709"/>
      <c r="BW67" s="709"/>
    </row>
    <row r="68" spans="1:78" ht="15.75" customHeight="1">
      <c r="A68" s="58"/>
      <c r="B68" s="58"/>
      <c r="C68" s="58"/>
      <c r="D68" s="58"/>
      <c r="E68" s="84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691"/>
      <c r="BP68" s="726" t="s">
        <v>1032</v>
      </c>
      <c r="BQ68" s="727" t="s">
        <v>1035</v>
      </c>
      <c r="BR68" s="691"/>
      <c r="BS68" s="691"/>
      <c r="BT68" s="691"/>
      <c r="BU68" s="709"/>
      <c r="BV68" s="709"/>
      <c r="BW68" s="709"/>
      <c r="BX68" s="655"/>
    </row>
    <row r="69" spans="1:78" ht="14.1" customHeight="1">
      <c r="A69" s="58"/>
      <c r="B69" s="58"/>
      <c r="C69" s="58"/>
      <c r="D69" s="58"/>
      <c r="E69" s="84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05" t="s">
        <v>1182</v>
      </c>
      <c r="BP69" s="705"/>
      <c r="BQ69" s="705"/>
      <c r="BR69" s="694" t="s">
        <v>1039</v>
      </c>
      <c r="BS69" s="723" t="str">
        <f>IF($BO$2&gt;0,"",IF(Worksheet!H51="","",IF(ISERROR(1/Worksheet!H61),"",IF('Start Page'!$AB$22="Acre-feet",Worksheet!H51*325851/1000000,Worksheet!H51)*1000000/365/Worksheet!H61)))</f>
        <v/>
      </c>
      <c r="BT69" s="691"/>
      <c r="BU69" s="793" t="s">
        <v>1035</v>
      </c>
      <c r="BV69" s="709"/>
      <c r="BW69" s="709"/>
      <c r="BX69" s="655"/>
      <c r="BY69" s="58" t="s">
        <v>1148</v>
      </c>
      <c r="BZ69" s="848" t="str">
        <f>IF(OR(Worksheet!S92=0,Worksheet!S92="",BO2&gt;0),"",Worksheet!S92)</f>
        <v/>
      </c>
    </row>
    <row r="70" spans="1:78" ht="14.1" customHeight="1">
      <c r="A70" s="58"/>
      <c r="B70" s="58"/>
      <c r="C70" s="58"/>
      <c r="D70" s="58"/>
      <c r="E70" s="84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24" t="s">
        <v>1034</v>
      </c>
      <c r="BO70" s="706" t="s">
        <v>1033</v>
      </c>
      <c r="BP70" s="715">
        <f>SUM(BP71:BP74)</f>
        <v>6074.127474647431</v>
      </c>
      <c r="BQ70" s="728">
        <f>IF($BD$7="ML/Yr",BW70,BU70)</f>
        <v>879.72156275907298</v>
      </c>
      <c r="BR70" s="694" t="s">
        <v>1038</v>
      </c>
      <c r="BS70" s="731" t="str">
        <f>IF(BS69="","",IF(BS69&lt;BQ70,0,IF(BS69&gt;BQ74,BQ74,BS69)))</f>
        <v/>
      </c>
      <c r="BT70" s="706" t="s">
        <v>1033</v>
      </c>
      <c r="BU70" s="717">
        <v>879.72156275907298</v>
      </c>
      <c r="BV70" s="709"/>
      <c r="BW70" s="713">
        <f>BU70*3.78541/1.60934</f>
        <v>2069.2375762013139</v>
      </c>
      <c r="BX70" s="655"/>
      <c r="BY70" s="58" t="s">
        <v>1149</v>
      </c>
      <c r="BZ70" s="58" t="str">
        <f>IF(BZ69="","",IF(BZ69&lt;BQ70,0,IF(BZ69&gt;BQ74,BQ74,BZ69)))</f>
        <v/>
      </c>
    </row>
    <row r="71" spans="1:78" ht="14.1" customHeight="1">
      <c r="A71" s="58"/>
      <c r="B71" s="58"/>
      <c r="C71" s="58"/>
      <c r="D71" s="58"/>
      <c r="E71" s="84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06" t="s">
        <v>1011</v>
      </c>
      <c r="BP71" s="731">
        <f>BQ71</f>
        <v>1289.3731309804823</v>
      </c>
      <c r="BQ71" s="728">
        <f t="shared" ref="BQ71:BQ74" si="10">IF($BD$7="ML/Yr",BW71,BU71)</f>
        <v>1289.3731309804823</v>
      </c>
      <c r="BR71" s="706" t="s">
        <v>1037</v>
      </c>
      <c r="BS71" s="710">
        <f>SUM(BP70:BP74)/125</f>
        <v>97.186039594358903</v>
      </c>
      <c r="BT71" s="706" t="s">
        <v>1011</v>
      </c>
      <c r="BU71" s="717">
        <v>1289.3731309804823</v>
      </c>
      <c r="BV71" s="709"/>
      <c r="BW71" s="713">
        <f>BU71*3.78541/1.60934</f>
        <v>3032.799746321366</v>
      </c>
      <c r="BX71" s="58" t="s">
        <v>1022</v>
      </c>
      <c r="BY71" s="706" t="s">
        <v>1037</v>
      </c>
      <c r="BZ71" s="710" t="str">
        <f>IF(BZ70="","",SUM(BP70:BP74)/250)</f>
        <v/>
      </c>
    </row>
    <row r="72" spans="1:78" ht="14.1" customHeight="1">
      <c r="A72" s="58"/>
      <c r="B72" s="58"/>
      <c r="C72" s="58"/>
      <c r="D72" s="58"/>
      <c r="E72" s="84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06" t="s">
        <v>1031</v>
      </c>
      <c r="BP72" s="731">
        <f>BQ72-BQ71</f>
        <v>759.55275547112319</v>
      </c>
      <c r="BQ72" s="728">
        <f t="shared" si="10"/>
        <v>2048.9258864516055</v>
      </c>
      <c r="BR72" s="706" t="s">
        <v>773</v>
      </c>
      <c r="BS72" s="715">
        <f>SUM(BP70:BP74)-SUM(BS70,BS71)</f>
        <v>12051.068909700503</v>
      </c>
      <c r="BT72" s="706" t="s">
        <v>1031</v>
      </c>
      <c r="BU72" s="717">
        <v>2048.9258864516055</v>
      </c>
      <c r="BV72" s="709"/>
      <c r="BW72" s="713">
        <f t="shared" ref="BW72:BW74" si="11">BU72*3.78541/1.60934</f>
        <v>4819.3821938389483</v>
      </c>
      <c r="BX72" s="58" t="s">
        <v>1025</v>
      </c>
      <c r="BY72" s="706" t="s">
        <v>773</v>
      </c>
      <c r="BZ72" s="710" t="str">
        <f>IF(BZ71="","",SUM(BP70:BP74)-SUM(BZ70,BZ71))</f>
        <v/>
      </c>
    </row>
    <row r="73" spans="1:78" ht="14.1" customHeight="1">
      <c r="A73" s="58"/>
      <c r="B73" s="58"/>
      <c r="C73" s="58"/>
      <c r="D73" s="58"/>
      <c r="E73" s="84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06" t="s">
        <v>1012</v>
      </c>
      <c r="BP73" s="731">
        <f>BQ73-BQ72</f>
        <v>1590.6845140948462</v>
      </c>
      <c r="BQ73" s="728">
        <f t="shared" si="10"/>
        <v>3639.6104005464517</v>
      </c>
      <c r="BR73" s="706"/>
      <c r="BS73" s="706"/>
      <c r="BT73" s="706" t="s">
        <v>1012</v>
      </c>
      <c r="BU73" s="717">
        <v>3639.6104005464517</v>
      </c>
      <c r="BV73" s="709"/>
      <c r="BW73" s="713">
        <f t="shared" si="11"/>
        <v>8560.9116820140825</v>
      </c>
      <c r="BX73" s="58" t="s">
        <v>1026</v>
      </c>
    </row>
    <row r="74" spans="1:78" ht="14.1" customHeight="1">
      <c r="A74" s="58"/>
      <c r="B74" s="58"/>
      <c r="C74" s="58"/>
      <c r="D74" s="58"/>
      <c r="E74" s="84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06" t="s">
        <v>1013</v>
      </c>
      <c r="BP74" s="731">
        <f>BQ74-BQ73</f>
        <v>2434.5170741009792</v>
      </c>
      <c r="BQ74" s="728">
        <f t="shared" si="10"/>
        <v>6074.127474647431</v>
      </c>
      <c r="BR74" s="706"/>
      <c r="BS74" s="706"/>
      <c r="BT74" s="706" t="s">
        <v>1013</v>
      </c>
      <c r="BU74" s="717">
        <v>6074.127474647431</v>
      </c>
      <c r="BV74" s="709"/>
      <c r="BW74" s="713">
        <f t="shared" si="11"/>
        <v>14287.262408071094</v>
      </c>
      <c r="BX74" s="58" t="s">
        <v>1029</v>
      </c>
    </row>
    <row r="75" spans="1:78" ht="14.1" customHeight="1">
      <c r="A75" s="58"/>
      <c r="B75" s="58"/>
      <c r="C75" s="58"/>
      <c r="D75" s="58"/>
      <c r="E75" s="84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691"/>
      <c r="BU75" s="709"/>
      <c r="BV75" s="709"/>
      <c r="BW75" s="709"/>
      <c r="BX75" s="716" t="s">
        <v>1030</v>
      </c>
    </row>
    <row r="76" spans="1:78" ht="14.1" customHeight="1">
      <c r="A76" s="58"/>
      <c r="B76" s="58"/>
      <c r="C76" s="58"/>
      <c r="D76" s="58"/>
      <c r="E76" s="84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691"/>
      <c r="BP76" s="726" t="s">
        <v>1032</v>
      </c>
      <c r="BQ76" s="727" t="s">
        <v>1035</v>
      </c>
      <c r="BR76" s="691"/>
      <c r="BS76" s="691"/>
      <c r="BT76" s="691"/>
      <c r="BU76" s="709"/>
      <c r="BV76" s="709"/>
      <c r="BW76" s="709"/>
      <c r="BX76" s="728" t="s">
        <v>1036</v>
      </c>
    </row>
    <row r="77" spans="1:78" ht="14.1" customHeight="1">
      <c r="A77" s="58"/>
      <c r="B77" s="58"/>
      <c r="C77" s="58"/>
      <c r="D77" s="58"/>
      <c r="E77" s="84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05" t="s">
        <v>1209</v>
      </c>
      <c r="BP77" s="705"/>
      <c r="BT77" s="691"/>
      <c r="BU77" s="793" t="s">
        <v>1035</v>
      </c>
      <c r="BV77" s="709"/>
      <c r="BW77" s="709"/>
      <c r="BX77" s="655"/>
    </row>
    <row r="78" spans="1:78" ht="14.1" customHeight="1">
      <c r="A78" s="58"/>
      <c r="B78" s="58"/>
      <c r="C78" s="58"/>
      <c r="D78" s="58"/>
      <c r="E78" s="84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24" t="s">
        <v>1034</v>
      </c>
      <c r="BO78" s="706" t="s">
        <v>1033</v>
      </c>
      <c r="BP78" s="715">
        <v>0</v>
      </c>
      <c r="BQ78" s="898">
        <f>IF($BD$7="ML/Yr",BW78,BU78)</f>
        <v>52.334191473572488</v>
      </c>
      <c r="BS78" s="731"/>
      <c r="BT78" s="706" t="s">
        <v>1033</v>
      </c>
      <c r="BU78" s="717">
        <v>52.334191473572488</v>
      </c>
      <c r="BV78" s="709"/>
      <c r="BW78" s="713">
        <f>BU78*0.70324961490205</f>
        <v>36.804000000000002</v>
      </c>
    </row>
    <row r="79" spans="1:78" ht="14.1" customHeight="1">
      <c r="A79" s="58"/>
      <c r="B79" s="58"/>
      <c r="C79" s="58"/>
      <c r="D79" s="58"/>
      <c r="E79" s="84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06" t="s">
        <v>1011</v>
      </c>
      <c r="BP79" s="731">
        <f>BQ79-BQ78</f>
        <v>7.6622700288460379</v>
      </c>
      <c r="BQ79" s="898">
        <f>IF($BD$7="ML/Yr",BW79,BU79)</f>
        <v>59.996461502418526</v>
      </c>
      <c r="BS79" s="710"/>
      <c r="BT79" s="706" t="s">
        <v>1011</v>
      </c>
      <c r="BU79" s="717">
        <v>59.996461502418526</v>
      </c>
      <c r="BV79" s="709"/>
      <c r="BW79" s="713">
        <f t="shared" ref="BW79:BW82" si="12">BU79*0.70324961490205</f>
        <v>42.192488447061493</v>
      </c>
      <c r="BX79" s="58" t="s">
        <v>1206</v>
      </c>
    </row>
    <row r="80" spans="1:78" ht="14.1" customHeight="1">
      <c r="A80" s="58"/>
      <c r="B80" s="58"/>
      <c r="C80" s="58"/>
      <c r="D80" s="58"/>
      <c r="E80" s="84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06" t="s">
        <v>1031</v>
      </c>
      <c r="BP80" s="731">
        <f>BQ80-BQ79</f>
        <v>10.003538497581474</v>
      </c>
      <c r="BQ80" s="898">
        <f>IF($BD$7="ML/Yr",BW80,BU80)</f>
        <v>70</v>
      </c>
      <c r="BS80" s="715"/>
      <c r="BT80" s="706" t="s">
        <v>1031</v>
      </c>
      <c r="BU80" s="717">
        <v>70</v>
      </c>
      <c r="BV80" s="709"/>
      <c r="BW80" s="713">
        <f t="shared" si="12"/>
        <v>49.227473043143497</v>
      </c>
      <c r="BX80" s="58" t="s">
        <v>1026</v>
      </c>
    </row>
    <row r="81" spans="1:76" ht="14.1" customHeight="1">
      <c r="A81" s="58"/>
      <c r="B81" s="58"/>
      <c r="C81" s="58"/>
      <c r="D81" s="58"/>
      <c r="E81" s="84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06" t="s">
        <v>1012</v>
      </c>
      <c r="BP81" s="731">
        <f>BQ81-BQ80</f>
        <v>11.988291197308087</v>
      </c>
      <c r="BQ81" s="898">
        <f>IF($BD$7="ML/Yr",BW81,BU81)</f>
        <v>81.988291197308087</v>
      </c>
      <c r="BS81" s="706"/>
      <c r="BT81" s="706" t="s">
        <v>1012</v>
      </c>
      <c r="BU81" s="717">
        <v>81.988291197308087</v>
      </c>
      <c r="BV81" s="709"/>
      <c r="BW81" s="713">
        <f t="shared" si="12"/>
        <v>57.658234210984041</v>
      </c>
      <c r="BX81" s="58" t="s">
        <v>1207</v>
      </c>
    </row>
    <row r="82" spans="1:76" ht="14.1" customHeight="1">
      <c r="A82" s="58"/>
      <c r="B82" s="58"/>
      <c r="C82" s="58"/>
      <c r="D82" s="58"/>
      <c r="E82" s="84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06" t="s">
        <v>1013</v>
      </c>
      <c r="BP82" s="731">
        <f>BQ82-BQ81</f>
        <v>15.011708802691913</v>
      </c>
      <c r="BQ82" s="898">
        <f>IF($BD$7="ML/Yr",BW82,BU82)</f>
        <v>97</v>
      </c>
      <c r="BS82" s="706"/>
      <c r="BT82" s="706" t="s">
        <v>1013</v>
      </c>
      <c r="BU82" s="717">
        <v>97</v>
      </c>
      <c r="BV82" s="709"/>
      <c r="BW82" s="713">
        <f t="shared" si="12"/>
        <v>68.215212645498852</v>
      </c>
      <c r="BX82" s="716" t="s">
        <v>1208</v>
      </c>
    </row>
    <row r="83" spans="1:76" ht="14.1" customHeight="1">
      <c r="A83" s="58"/>
      <c r="B83" s="58"/>
      <c r="C83" s="58"/>
      <c r="D83" s="58"/>
      <c r="E83" s="84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899" t="s">
        <v>909</v>
      </c>
      <c r="BP83" s="731">
        <f>input_AOP-BQ78</f>
        <v>-52.334191473572488</v>
      </c>
      <c r="BQ83" s="723">
        <f>BP83+BQ78</f>
        <v>0</v>
      </c>
      <c r="BX83" s="728" t="s">
        <v>1036</v>
      </c>
    </row>
    <row r="84" spans="1:76" ht="14.1" customHeight="1">
      <c r="A84" s="58"/>
      <c r="B84" s="58"/>
      <c r="C84" s="58"/>
      <c r="D84" s="58"/>
      <c r="E84" s="84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4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4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4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4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4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4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4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4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4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4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4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4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4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4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4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4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4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4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4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4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4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4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4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4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4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4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4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4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4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4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4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4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4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4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4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4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4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4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4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4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4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4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4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4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4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4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4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4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4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4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4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4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4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4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4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4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4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44"/>
      <c r="F142" s="58"/>
      <c r="G142" s="58"/>
      <c r="H142" s="58"/>
      <c r="T142" s="58"/>
      <c r="U142" s="58"/>
      <c r="V142" s="58"/>
    </row>
  </sheetData>
  <sheetProtection algorithmName="SHA-512" hashValue="Bjxx4W7/NhsLY/XQmb0TXc5kGjx6cs/G6jsg0a8zD3rld8+H52/6HI5GyxJmSx1VnHWGAuj2ko+teYvMkH9ajg==" saltValue="vYIskPJVHsyMzt5oAlynng==" spinCount="100000" sheet="1" objects="1" scenarios="1"/>
  <mergeCells count="56">
    <mergeCell ref="AX2:BA2"/>
    <mergeCell ref="AN2:AQ2"/>
    <mergeCell ref="AS2:AV2"/>
    <mergeCell ref="AU29:AW29"/>
    <mergeCell ref="AG3:AH3"/>
    <mergeCell ref="C4:BA4"/>
    <mergeCell ref="AV14:AY15"/>
    <mergeCell ref="AK29:AM29"/>
    <mergeCell ref="AB25:AE26"/>
    <mergeCell ref="I14:O17"/>
    <mergeCell ref="AL14:AO15"/>
    <mergeCell ref="AK18:AM18"/>
    <mergeCell ref="AB14:AE15"/>
    <mergeCell ref="AV25:AY26"/>
    <mergeCell ref="AL25:AO26"/>
    <mergeCell ref="J7:K7"/>
    <mergeCell ref="C5:V6"/>
    <mergeCell ref="AH7:AR8"/>
    <mergeCell ref="Z6:AA6"/>
    <mergeCell ref="J8:O9"/>
    <mergeCell ref="P8:S9"/>
    <mergeCell ref="H8:I9"/>
    <mergeCell ref="AH5:AR6"/>
    <mergeCell ref="R7:V7"/>
    <mergeCell ref="AU18:AW18"/>
    <mergeCell ref="AA18:AC18"/>
    <mergeCell ref="AI37:AL38"/>
    <mergeCell ref="Z43:AJ43"/>
    <mergeCell ref="AK43:AN43"/>
    <mergeCell ref="AS43:AV43"/>
    <mergeCell ref="AS41:AU41"/>
    <mergeCell ref="AH41:AJ41"/>
    <mergeCell ref="AT37:AW38"/>
    <mergeCell ref="AA29:AC29"/>
    <mergeCell ref="S53:V53"/>
    <mergeCell ref="X32:Y32"/>
    <mergeCell ref="AB33:AD34"/>
    <mergeCell ref="S47:V47"/>
    <mergeCell ref="S48:V48"/>
    <mergeCell ref="S46:V46"/>
    <mergeCell ref="S49:V49"/>
    <mergeCell ref="S50:V50"/>
    <mergeCell ref="S51:V51"/>
    <mergeCell ref="S52:V52"/>
    <mergeCell ref="I52:L52"/>
    <mergeCell ref="N49:Q49"/>
    <mergeCell ref="N50:Q50"/>
    <mergeCell ref="N51:Q51"/>
    <mergeCell ref="N52:Q52"/>
    <mergeCell ref="I49:L49"/>
    <mergeCell ref="I50:L50"/>
    <mergeCell ref="I47:L47"/>
    <mergeCell ref="N47:Q47"/>
    <mergeCell ref="I48:L48"/>
    <mergeCell ref="N48:Q48"/>
    <mergeCell ref="I51:L51"/>
  </mergeCells>
  <phoneticPr fontId="13" type="noConversion"/>
  <conditionalFormatting sqref="I49:I52 N49:N52">
    <cfRule type="expression" dxfId="38" priority="22" stopIfTrue="1">
      <formula>OR($BD$27&gt;0,$BD$28=0)</formula>
    </cfRule>
  </conditionalFormatting>
  <conditionalFormatting sqref="X5">
    <cfRule type="expression" dxfId="37" priority="1">
      <formula>$BD$7="ML/Yr"</formula>
    </cfRule>
  </conditionalFormatting>
  <conditionalFormatting sqref="X7">
    <cfRule type="expression" dxfId="36" priority="3">
      <formula>$BD$7="ML/Yr"</formula>
    </cfRule>
  </conditionalFormatting>
  <conditionalFormatting sqref="Y6 AB6">
    <cfRule type="expression" dxfId="35" priority="4">
      <formula>$BD$7="ML/Yr"</formula>
    </cfRule>
  </conditionalFormatting>
  <conditionalFormatting sqref="Z6:AA6">
    <cfRule type="expression" dxfId="34" priority="5">
      <formula>$BD$7="ML/Yr"</formula>
    </cfRule>
  </conditionalFormatting>
  <conditionalFormatting sqref="AA18:AC18">
    <cfRule type="expression" dxfId="33" priority="13">
      <formula>OR($BD$27&gt;0,$BD$28=0)</formula>
    </cfRule>
  </conditionalFormatting>
  <conditionalFormatting sqref="AA29:AC29">
    <cfRule type="expression" dxfId="32" priority="10">
      <formula>OR($BD$27&gt;0,$BD$28=0)</formula>
    </cfRule>
  </conditionalFormatting>
  <conditionalFormatting sqref="AF13:AU13 AV30">
    <cfRule type="expression" dxfId="31" priority="181" stopIfTrue="1">
      <formula>$BD$27&gt;0</formula>
    </cfRule>
  </conditionalFormatting>
  <conditionalFormatting sqref="AH41">
    <cfRule type="expression" dxfId="30" priority="7">
      <formula>OR($BD$27&gt;0,$BD$28=0)</formula>
    </cfRule>
  </conditionalFormatting>
  <conditionalFormatting sqref="AK43">
    <cfRule type="expression" dxfId="29" priority="25" stopIfTrue="1">
      <formula>OR($BD$27&gt;0,$BD$28=0)</formula>
    </cfRule>
  </conditionalFormatting>
  <conditionalFormatting sqref="AK18:AM18">
    <cfRule type="expression" dxfId="28" priority="12">
      <formula>OR($BD$27&gt;0,$BD$28=0)</formula>
    </cfRule>
  </conditionalFormatting>
  <conditionalFormatting sqref="AK29:AM29">
    <cfRule type="expression" dxfId="27" priority="9">
      <formula>OR($BD$27&gt;0,$BD$28=0)</formula>
    </cfRule>
  </conditionalFormatting>
  <conditionalFormatting sqref="AS41">
    <cfRule type="expression" dxfId="26" priority="6">
      <formula>OR($BD$27&gt;0,$BD$28=0)</formula>
    </cfRule>
  </conditionalFormatting>
  <conditionalFormatting sqref="AS43">
    <cfRule type="expression" dxfId="25" priority="24" stopIfTrue="1">
      <formula>OR($BD$27&gt;0,$BD$28=0)</formula>
    </cfRule>
  </conditionalFormatting>
  <conditionalFormatting sqref="AU18:AW18">
    <cfRule type="expression" dxfId="24" priority="11">
      <formula>OR($BD$27&gt;0,$BD$28=0)</formula>
    </cfRule>
  </conditionalFormatting>
  <conditionalFormatting sqref="AU29:AW29">
    <cfRule type="expression" dxfId="23" priority="8">
      <formula>OR($BD$27&gt;0,$BD$28=0)</formula>
    </cfRule>
  </conditionalFormatting>
  <dataValidations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C49:L50" display="(UARL) Unavoidable Annual Real Losses"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workbookViewId="0">
      <pane ySplit="9" topLeftCell="A10" activePane="bottomLeft" state="frozen"/>
      <selection pane="bottomLeft" activeCell="G13" sqref="G13:G1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204" t="s">
        <v>877</v>
      </c>
      <c r="C2" s="1204"/>
      <c r="D2" s="1204"/>
      <c r="E2" s="1204"/>
      <c r="F2" s="1204"/>
      <c r="G2" s="1204"/>
      <c r="H2" s="1204"/>
    </row>
    <row r="3" spans="2:21" ht="6.6" customHeight="1">
      <c r="F3" s="603"/>
      <c r="G3" s="603"/>
      <c r="H3" s="603"/>
    </row>
    <row r="4" spans="2:21" ht="13.35" customHeight="1">
      <c r="F4" s="257" t="s">
        <v>62</v>
      </c>
      <c r="G4" s="878" t="str">
        <f>IF(ISBLANK('Start Page'!AB9),"&lt;&lt; Please enter system details on the Start Page &gt;&gt;",'Start Page'!AB9&amp;IF(ISBLANK('Start Page'!AM28),"","  ("&amp;'Start Page'!AM28&amp;")"))</f>
        <v>&lt;&lt; Please enter system details on the Start Page &gt;&gt;</v>
      </c>
      <c r="H4" s="879" t="str">
        <f>IF(ISBLANK('Start Page'!AB19),"",'Start Page'!AB19)</f>
        <v/>
      </c>
    </row>
    <row r="5" spans="2:21" ht="13.35" customHeight="1">
      <c r="F5" s="257" t="s">
        <v>708</v>
      </c>
      <c r="G5" s="879" t="str">
        <f>IF(ISBLANK('Start Page'!AB18),"",'Start Page'!AB18)</f>
        <v/>
      </c>
      <c r="H5" s="879" t="str">
        <f>IF(ISBLANK('Start Page'!AB20),"",TEXT('Start Page'!AB20,"mmm dd yyyy")&amp;" - "&amp;TEXT('Start Page'!AB21,"mmm dd yyyy"))</f>
        <v/>
      </c>
    </row>
    <row r="6" spans="2:21" ht="7.35" customHeight="1">
      <c r="F6" s="604"/>
      <c r="G6" s="604"/>
      <c r="H6" s="604"/>
    </row>
    <row r="7" spans="2:21" ht="56.4" customHeight="1">
      <c r="F7" s="499" t="s">
        <v>878</v>
      </c>
      <c r="G7" s="1203"/>
      <c r="H7" s="1203"/>
    </row>
    <row r="8" spans="2:21" ht="5.4" customHeight="1">
      <c r="F8" s="343"/>
      <c r="G8" s="343"/>
      <c r="H8" s="343"/>
    </row>
    <row r="9" spans="2:21" ht="16.350000000000001" customHeight="1">
      <c r="F9" s="500" t="s">
        <v>135</v>
      </c>
      <c r="G9" s="500" t="s">
        <v>879</v>
      </c>
      <c r="H9" s="500" t="s">
        <v>880</v>
      </c>
    </row>
    <row r="10" spans="2:21" ht="28.95" customHeight="1">
      <c r="B10" s="529"/>
      <c r="C10" s="509"/>
      <c r="D10" s="529"/>
      <c r="F10" s="1197" t="s">
        <v>1127</v>
      </c>
      <c r="G10" s="1200"/>
      <c r="H10" s="1200"/>
    </row>
    <row r="11" spans="2:21" ht="28.95" customHeight="1">
      <c r="B11" s="834" t="s">
        <v>1144</v>
      </c>
      <c r="C11" s="509"/>
      <c r="D11" s="834" t="s">
        <v>1145</v>
      </c>
      <c r="F11" s="1198"/>
      <c r="G11" s="1201"/>
      <c r="H11" s="1201"/>
      <c r="J11" s="344"/>
      <c r="K11" s="344"/>
      <c r="L11" s="344"/>
      <c r="M11" s="344"/>
      <c r="N11" s="344"/>
      <c r="O11" s="344"/>
      <c r="P11" s="344"/>
      <c r="Q11" s="344"/>
      <c r="R11" s="344"/>
      <c r="S11" s="344"/>
      <c r="T11" s="344"/>
      <c r="U11" s="345"/>
    </row>
    <row r="12" spans="2:21" ht="28.95" customHeight="1">
      <c r="B12" s="529"/>
      <c r="C12" s="509"/>
      <c r="D12" s="529"/>
      <c r="F12" s="1199"/>
      <c r="G12" s="1202"/>
      <c r="H12" s="1202"/>
      <c r="J12" s="827"/>
      <c r="K12" s="827"/>
      <c r="L12" s="827"/>
      <c r="M12" s="827"/>
      <c r="N12" s="827"/>
      <c r="O12" s="827"/>
      <c r="P12" s="827"/>
      <c r="Q12" s="827"/>
      <c r="R12" s="827"/>
      <c r="S12" s="827"/>
      <c r="T12" s="827"/>
      <c r="U12" s="827"/>
    </row>
    <row r="13" spans="2:21" ht="28.95" customHeight="1">
      <c r="B13" s="529"/>
      <c r="C13" s="509"/>
      <c r="D13" s="529"/>
      <c r="F13" s="1197" t="s">
        <v>1128</v>
      </c>
      <c r="G13" s="1200"/>
      <c r="H13" s="1200"/>
      <c r="J13" s="827"/>
      <c r="K13" s="827"/>
      <c r="L13" s="827"/>
      <c r="M13" s="827"/>
      <c r="N13" s="827"/>
      <c r="O13" s="827"/>
      <c r="P13" s="827"/>
      <c r="Q13" s="827"/>
      <c r="R13" s="827"/>
      <c r="S13" s="827"/>
      <c r="T13" s="827"/>
      <c r="U13" s="827"/>
    </row>
    <row r="14" spans="2:21" ht="28.95" customHeight="1">
      <c r="B14" s="834" t="s">
        <v>1144</v>
      </c>
      <c r="C14" s="509"/>
      <c r="D14" s="834" t="s">
        <v>1145</v>
      </c>
      <c r="F14" s="1198"/>
      <c r="G14" s="1201"/>
      <c r="H14" s="1201"/>
    </row>
    <row r="15" spans="2:21" ht="28.95" customHeight="1">
      <c r="B15" s="835"/>
      <c r="C15" s="509"/>
      <c r="D15" s="835"/>
      <c r="F15" s="1199"/>
      <c r="G15" s="1202"/>
      <c r="H15" s="1202"/>
    </row>
    <row r="16" spans="2:21" ht="28.95" customHeight="1">
      <c r="B16" s="529"/>
      <c r="C16" s="509"/>
      <c r="D16" s="529"/>
      <c r="F16" s="1197" t="s">
        <v>1129</v>
      </c>
      <c r="G16" s="1194"/>
      <c r="H16" s="1194"/>
    </row>
    <row r="17" spans="2:8" ht="28.95" customHeight="1">
      <c r="B17" s="834" t="s">
        <v>1144</v>
      </c>
      <c r="C17" s="509"/>
      <c r="D17" s="834" t="s">
        <v>1145</v>
      </c>
      <c r="F17" s="1198"/>
      <c r="G17" s="1195"/>
      <c r="H17" s="1195"/>
    </row>
    <row r="18" spans="2:8" ht="28.95" customHeight="1">
      <c r="B18" s="529"/>
      <c r="C18" s="509"/>
      <c r="D18" s="529"/>
      <c r="F18" s="1199"/>
      <c r="G18" s="1196"/>
      <c r="H18" s="1196"/>
    </row>
    <row r="19" spans="2:8" ht="28.95" customHeight="1">
      <c r="B19" s="529"/>
      <c r="C19" s="509"/>
      <c r="D19" s="529"/>
      <c r="F19" s="1197" t="s">
        <v>1130</v>
      </c>
      <c r="G19" s="1194"/>
      <c r="H19" s="1194"/>
    </row>
    <row r="20" spans="2:8" ht="28.95" customHeight="1">
      <c r="B20" s="834" t="s">
        <v>1144</v>
      </c>
      <c r="C20" s="509"/>
      <c r="D20" s="834" t="s">
        <v>1145</v>
      </c>
      <c r="F20" s="1198"/>
      <c r="G20" s="1195"/>
      <c r="H20" s="1195"/>
    </row>
    <row r="21" spans="2:8" ht="28.95" customHeight="1">
      <c r="B21" s="529"/>
      <c r="C21" s="509"/>
      <c r="D21" s="529"/>
      <c r="F21" s="1199"/>
      <c r="G21" s="1196"/>
      <c r="H21" s="1196"/>
    </row>
    <row r="22" spans="2:8" ht="28.95" customHeight="1">
      <c r="B22" s="529"/>
      <c r="C22" s="509"/>
      <c r="D22" s="529"/>
      <c r="F22" s="1197" t="s">
        <v>1121</v>
      </c>
      <c r="G22" s="1194"/>
      <c r="H22" s="1194"/>
    </row>
    <row r="23" spans="2:8" ht="28.95" customHeight="1">
      <c r="B23" s="834" t="s">
        <v>1144</v>
      </c>
      <c r="C23" s="509"/>
      <c r="D23" s="834" t="s">
        <v>1145</v>
      </c>
      <c r="F23" s="1198"/>
      <c r="G23" s="1195"/>
      <c r="H23" s="1195"/>
    </row>
    <row r="24" spans="2:8" ht="28.95" customHeight="1">
      <c r="B24" s="529"/>
      <c r="C24" s="509"/>
      <c r="D24" s="529"/>
      <c r="F24" s="1199"/>
      <c r="G24" s="1196"/>
      <c r="H24" s="1196"/>
    </row>
    <row r="25" spans="2:8" ht="28.95" customHeight="1">
      <c r="B25" s="529"/>
      <c r="C25" s="509"/>
      <c r="D25" s="529"/>
      <c r="F25" s="1197" t="s">
        <v>1131</v>
      </c>
      <c r="G25" s="1191"/>
      <c r="H25" s="1191"/>
    </row>
    <row r="26" spans="2:8" ht="28.95" customHeight="1">
      <c r="B26" s="834" t="s">
        <v>1144</v>
      </c>
      <c r="C26" s="509"/>
      <c r="D26" s="834" t="s">
        <v>1145</v>
      </c>
      <c r="F26" s="1198"/>
      <c r="G26" s="1192"/>
      <c r="H26" s="1192"/>
    </row>
    <row r="27" spans="2:8" ht="28.95" customHeight="1">
      <c r="B27" s="529"/>
      <c r="C27" s="509"/>
      <c r="D27" s="529"/>
      <c r="F27" s="1199"/>
      <c r="G27" s="1193"/>
      <c r="H27" s="1193"/>
    </row>
    <row r="28" spans="2:8" ht="28.95" customHeight="1">
      <c r="B28" s="529"/>
      <c r="C28" s="509"/>
      <c r="D28" s="529"/>
      <c r="F28" s="1197" t="s">
        <v>1132</v>
      </c>
      <c r="G28" s="1194"/>
      <c r="H28" s="1194"/>
    </row>
    <row r="29" spans="2:8" ht="28.95" customHeight="1">
      <c r="B29" s="834" t="s">
        <v>1144</v>
      </c>
      <c r="C29" s="509"/>
      <c r="D29" s="834" t="s">
        <v>1145</v>
      </c>
      <c r="F29" s="1198"/>
      <c r="G29" s="1195"/>
      <c r="H29" s="1195"/>
    </row>
    <row r="30" spans="2:8" ht="28.95" customHeight="1">
      <c r="B30" s="529"/>
      <c r="C30" s="509"/>
      <c r="D30" s="529"/>
      <c r="F30" s="1199"/>
      <c r="G30" s="1196"/>
      <c r="H30" s="1196"/>
    </row>
    <row r="31" spans="2:8" ht="28.95" customHeight="1">
      <c r="B31" s="529"/>
      <c r="C31" s="509"/>
      <c r="D31" s="529"/>
      <c r="F31" s="1197" t="s">
        <v>1133</v>
      </c>
      <c r="G31" s="1194"/>
      <c r="H31" s="1194"/>
    </row>
    <row r="32" spans="2:8" ht="28.95" customHeight="1">
      <c r="B32" s="834" t="s">
        <v>1144</v>
      </c>
      <c r="C32" s="509"/>
      <c r="D32" s="834" t="s">
        <v>1145</v>
      </c>
      <c r="F32" s="1198"/>
      <c r="G32" s="1195"/>
      <c r="H32" s="1195"/>
    </row>
    <row r="33" spans="2:8" ht="28.95" customHeight="1">
      <c r="B33" s="529"/>
      <c r="C33" s="509"/>
      <c r="D33" s="529"/>
      <c r="F33" s="1199"/>
      <c r="G33" s="1196"/>
      <c r="H33" s="1196"/>
    </row>
    <row r="34" spans="2:8" ht="28.95" customHeight="1">
      <c r="B34" s="529"/>
      <c r="C34" s="509"/>
      <c r="D34" s="529"/>
      <c r="F34" s="1197" t="s">
        <v>1134</v>
      </c>
      <c r="G34" s="1191"/>
      <c r="H34" s="1191"/>
    </row>
    <row r="35" spans="2:8" ht="28.95" customHeight="1">
      <c r="B35" s="834" t="s">
        <v>1144</v>
      </c>
      <c r="C35" s="509"/>
      <c r="D35" s="834" t="s">
        <v>1145</v>
      </c>
      <c r="F35" s="1198"/>
      <c r="G35" s="1192"/>
      <c r="H35" s="1192"/>
    </row>
    <row r="36" spans="2:8" ht="28.95" customHeight="1">
      <c r="B36" s="529"/>
      <c r="C36" s="509"/>
      <c r="D36" s="529"/>
      <c r="F36" s="1199"/>
      <c r="G36" s="1193"/>
      <c r="H36" s="1193"/>
    </row>
    <row r="37" spans="2:8" ht="28.95" customHeight="1">
      <c r="B37" s="529"/>
      <c r="C37" s="509"/>
      <c r="D37" s="529"/>
      <c r="F37" s="1197" t="s">
        <v>1135</v>
      </c>
      <c r="G37" s="1191"/>
      <c r="H37" s="1191"/>
    </row>
    <row r="38" spans="2:8" ht="28.95" customHeight="1">
      <c r="B38" s="834" t="s">
        <v>1144</v>
      </c>
      <c r="C38" s="509"/>
      <c r="D38" s="834" t="s">
        <v>1145</v>
      </c>
      <c r="F38" s="1198"/>
      <c r="G38" s="1192"/>
      <c r="H38" s="1192"/>
    </row>
    <row r="39" spans="2:8" ht="28.95" customHeight="1">
      <c r="B39" s="529"/>
      <c r="C39" s="509"/>
      <c r="D39" s="529"/>
      <c r="F39" s="1199"/>
      <c r="G39" s="1193"/>
      <c r="H39" s="1193"/>
    </row>
    <row r="40" spans="2:8" ht="28.95" customHeight="1">
      <c r="B40" s="529"/>
      <c r="C40" s="509"/>
      <c r="D40" s="529"/>
      <c r="F40" s="1197" t="s">
        <v>1136</v>
      </c>
      <c r="G40" s="1191"/>
      <c r="H40" s="1191"/>
    </row>
    <row r="41" spans="2:8" ht="28.95" customHeight="1">
      <c r="B41" s="834" t="s">
        <v>1144</v>
      </c>
      <c r="C41" s="509"/>
      <c r="D41" s="834" t="s">
        <v>1145</v>
      </c>
      <c r="F41" s="1198"/>
      <c r="G41" s="1192"/>
      <c r="H41" s="1192"/>
    </row>
    <row r="42" spans="2:8" ht="28.95" customHeight="1">
      <c r="B42" s="529"/>
      <c r="C42" s="509"/>
      <c r="D42" s="529"/>
      <c r="F42" s="1199"/>
      <c r="G42" s="1193"/>
      <c r="H42" s="1193"/>
    </row>
    <row r="43" spans="2:8" ht="28.95" customHeight="1">
      <c r="B43" s="529"/>
      <c r="C43" s="509"/>
      <c r="D43" s="529"/>
      <c r="F43" s="1197" t="s">
        <v>1137</v>
      </c>
      <c r="G43" s="1191"/>
      <c r="H43" s="1191"/>
    </row>
    <row r="44" spans="2:8" ht="28.95" customHeight="1">
      <c r="B44" s="834" t="s">
        <v>1144</v>
      </c>
      <c r="C44" s="509"/>
      <c r="D44" s="834" t="s">
        <v>1145</v>
      </c>
      <c r="F44" s="1198"/>
      <c r="G44" s="1192"/>
      <c r="H44" s="1192"/>
    </row>
    <row r="45" spans="2:8" ht="28.95" customHeight="1">
      <c r="B45" s="529"/>
      <c r="C45" s="509"/>
      <c r="D45" s="529"/>
      <c r="F45" s="1199"/>
      <c r="G45" s="1193"/>
      <c r="H45" s="1193"/>
    </row>
    <row r="46" spans="2:8" ht="28.95" customHeight="1">
      <c r="B46" s="529"/>
      <c r="C46" s="509"/>
      <c r="D46" s="529"/>
      <c r="F46" s="1197" t="s">
        <v>1138</v>
      </c>
      <c r="G46" s="1191"/>
      <c r="H46" s="1191"/>
    </row>
    <row r="47" spans="2:8" ht="28.95" customHeight="1">
      <c r="B47" s="834" t="s">
        <v>1144</v>
      </c>
      <c r="C47" s="509"/>
      <c r="D47" s="834" t="s">
        <v>1145</v>
      </c>
      <c r="F47" s="1198"/>
      <c r="G47" s="1192"/>
      <c r="H47" s="1192"/>
    </row>
    <row r="48" spans="2:8" ht="28.95" customHeight="1">
      <c r="B48" s="529"/>
      <c r="C48" s="509"/>
      <c r="D48" s="529"/>
      <c r="F48" s="1199"/>
      <c r="G48" s="1193"/>
      <c r="H48" s="1193"/>
    </row>
    <row r="49" spans="2:8" ht="28.95" customHeight="1">
      <c r="B49" s="529"/>
      <c r="C49" s="509"/>
      <c r="D49" s="529"/>
      <c r="F49" s="1197" t="s">
        <v>1116</v>
      </c>
      <c r="G49" s="1191"/>
      <c r="H49" s="1191"/>
    </row>
    <row r="50" spans="2:8" ht="28.95" customHeight="1">
      <c r="B50" s="834" t="s">
        <v>1144</v>
      </c>
      <c r="C50" s="509"/>
      <c r="D50" s="834" t="s">
        <v>1145</v>
      </c>
      <c r="F50" s="1198"/>
      <c r="G50" s="1192"/>
      <c r="H50" s="1192"/>
    </row>
    <row r="51" spans="2:8" ht="28.95" customHeight="1">
      <c r="B51" s="529"/>
      <c r="C51" s="509"/>
      <c r="D51" s="529"/>
      <c r="F51" s="1199"/>
      <c r="G51" s="1193"/>
      <c r="H51" s="1193"/>
    </row>
    <row r="52" spans="2:8" ht="28.95" customHeight="1">
      <c r="B52" s="529"/>
      <c r="C52" s="509"/>
      <c r="D52" s="529"/>
      <c r="F52" s="1197" t="s">
        <v>1139</v>
      </c>
      <c r="G52" s="1191"/>
      <c r="H52" s="1191"/>
    </row>
    <row r="53" spans="2:8" ht="28.95" customHeight="1">
      <c r="B53" s="834" t="s">
        <v>1144</v>
      </c>
      <c r="C53" s="509"/>
      <c r="D53" s="834" t="s">
        <v>1145</v>
      </c>
      <c r="F53" s="1198"/>
      <c r="G53" s="1192"/>
      <c r="H53" s="1192"/>
    </row>
    <row r="54" spans="2:8" ht="28.95" customHeight="1">
      <c r="B54" s="529"/>
      <c r="C54" s="509"/>
      <c r="D54" s="529"/>
      <c r="F54" s="1199"/>
      <c r="G54" s="1193"/>
      <c r="H54" s="1193"/>
    </row>
    <row r="55" spans="2:8" ht="28.95" customHeight="1">
      <c r="B55" s="529"/>
      <c r="C55" s="509"/>
      <c r="D55" s="529"/>
      <c r="F55" s="1197" t="s">
        <v>1140</v>
      </c>
      <c r="G55" s="1191"/>
      <c r="H55" s="1191"/>
    </row>
    <row r="56" spans="2:8" ht="28.95" customHeight="1">
      <c r="B56" s="834" t="s">
        <v>1144</v>
      </c>
      <c r="C56" s="509"/>
      <c r="D56" s="834" t="s">
        <v>1145</v>
      </c>
      <c r="F56" s="1198"/>
      <c r="G56" s="1192"/>
      <c r="H56" s="1192"/>
    </row>
    <row r="57" spans="2:8" ht="28.95" customHeight="1">
      <c r="B57" s="529"/>
      <c r="C57" s="509"/>
      <c r="D57" s="529"/>
      <c r="F57" s="1199"/>
      <c r="G57" s="1193"/>
      <c r="H57" s="1193"/>
    </row>
    <row r="58" spans="2:8" ht="28.95" customHeight="1">
      <c r="B58" s="529"/>
      <c r="C58" s="509"/>
      <c r="D58" s="529"/>
      <c r="F58" s="1197" t="s">
        <v>1141</v>
      </c>
      <c r="G58" s="1191"/>
      <c r="H58" s="1191"/>
    </row>
    <row r="59" spans="2:8" ht="28.95" customHeight="1">
      <c r="B59" s="834" t="s">
        <v>1144</v>
      </c>
      <c r="C59" s="509"/>
      <c r="D59" s="834" t="s">
        <v>1145</v>
      </c>
      <c r="F59" s="1198"/>
      <c r="G59" s="1192"/>
      <c r="H59" s="1192"/>
    </row>
    <row r="60" spans="2:8" ht="28.95" customHeight="1">
      <c r="B60" s="529"/>
      <c r="C60" s="509"/>
      <c r="D60" s="529"/>
      <c r="F60" s="1199"/>
      <c r="G60" s="1193"/>
      <c r="H60" s="1193"/>
    </row>
    <row r="61" spans="2:8" ht="28.95" customHeight="1">
      <c r="B61" s="529"/>
      <c r="C61" s="509"/>
      <c r="D61" s="529"/>
      <c r="F61" s="1197" t="s">
        <v>1142</v>
      </c>
      <c r="G61" s="1191"/>
      <c r="H61" s="1191"/>
    </row>
    <row r="62" spans="2:8" ht="28.95" customHeight="1">
      <c r="B62" s="834" t="s">
        <v>1144</v>
      </c>
      <c r="C62" s="509"/>
      <c r="D62" s="834" t="s">
        <v>1145</v>
      </c>
      <c r="F62" s="1198"/>
      <c r="G62" s="1192"/>
      <c r="H62" s="1192"/>
    </row>
    <row r="63" spans="2:8" ht="28.95" customHeight="1">
      <c r="B63" s="529"/>
      <c r="C63" s="509"/>
      <c r="D63" s="529"/>
      <c r="F63" s="1199"/>
      <c r="G63" s="1193"/>
      <c r="H63" s="1193"/>
    </row>
    <row r="64" spans="2:8" ht="28.95" customHeight="1">
      <c r="B64" s="529"/>
      <c r="C64" s="509"/>
      <c r="D64" s="529"/>
      <c r="F64" s="1197" t="s">
        <v>1143</v>
      </c>
      <c r="G64" s="1191"/>
      <c r="H64" s="1191"/>
    </row>
    <row r="65" spans="2:8" ht="28.95" customHeight="1">
      <c r="B65" s="834" t="s">
        <v>1144</v>
      </c>
      <c r="C65" s="509"/>
      <c r="D65" s="834" t="s">
        <v>1145</v>
      </c>
      <c r="F65" s="1198"/>
      <c r="G65" s="1192"/>
      <c r="H65" s="1192"/>
    </row>
    <row r="66" spans="2:8" ht="28.95" customHeight="1">
      <c r="B66" s="529"/>
      <c r="C66" s="509"/>
      <c r="D66" s="529"/>
      <c r="F66" s="1199"/>
      <c r="G66" s="1193"/>
      <c r="H66" s="1193"/>
    </row>
    <row r="67" spans="2:8">
      <c r="B67" s="828"/>
      <c r="C67" s="829"/>
      <c r="D67" s="828"/>
    </row>
    <row r="68" spans="2:8">
      <c r="B68" s="529"/>
      <c r="C68" s="509"/>
      <c r="D68" s="529"/>
      <c r="F68" s="1197" t="s">
        <v>1256</v>
      </c>
      <c r="G68" s="1205"/>
      <c r="H68" s="1206"/>
    </row>
    <row r="69" spans="2:8" ht="38.25" customHeight="1">
      <c r="B69" s="1211" t="s">
        <v>1295</v>
      </c>
      <c r="C69" s="1212"/>
      <c r="D69" s="1213"/>
      <c r="F69" s="1198"/>
      <c r="G69" s="1207"/>
      <c r="H69" s="1208"/>
    </row>
    <row r="70" spans="2:8">
      <c r="B70" s="529"/>
      <c r="C70" s="509"/>
      <c r="D70" s="529"/>
      <c r="F70" s="1199"/>
      <c r="G70" s="1209"/>
      <c r="H70" s="1210"/>
    </row>
    <row r="71" spans="2:8">
      <c r="B71" s="529"/>
      <c r="C71" s="509"/>
      <c r="D71" s="529"/>
      <c r="F71" s="1197" t="s">
        <v>1258</v>
      </c>
      <c r="G71" s="1205"/>
      <c r="H71" s="1206"/>
    </row>
    <row r="72" spans="2:8" ht="37.5" customHeight="1">
      <c r="B72" s="1211" t="s">
        <v>1295</v>
      </c>
      <c r="C72" s="1212"/>
      <c r="D72" s="1213"/>
      <c r="F72" s="1198"/>
      <c r="G72" s="1207"/>
      <c r="H72" s="1208"/>
    </row>
    <row r="73" spans="2:8">
      <c r="B73" s="529"/>
      <c r="C73" s="509"/>
      <c r="D73" s="529"/>
      <c r="F73" s="1199"/>
      <c r="G73" s="1209"/>
      <c r="H73" s="1210"/>
    </row>
    <row r="74" spans="2:8">
      <c r="B74" s="529"/>
      <c r="C74" s="509"/>
      <c r="D74" s="529"/>
      <c r="F74" s="1197" t="s">
        <v>1261</v>
      </c>
      <c r="G74" s="1205"/>
      <c r="H74" s="1206"/>
    </row>
    <row r="75" spans="2:8" ht="38.25" customHeight="1">
      <c r="B75" s="1211" t="s">
        <v>1295</v>
      </c>
      <c r="C75" s="1212"/>
      <c r="D75" s="1213"/>
      <c r="F75" s="1198"/>
      <c r="G75" s="1207"/>
      <c r="H75" s="1208"/>
    </row>
    <row r="76" spans="2:8">
      <c r="B76" s="529"/>
      <c r="C76" s="509"/>
      <c r="D76" s="529"/>
      <c r="F76" s="1199"/>
      <c r="G76" s="1209"/>
      <c r="H76" s="1210"/>
    </row>
    <row r="77" spans="2:8">
      <c r="B77" s="828"/>
      <c r="C77" s="829"/>
      <c r="D77" s="828"/>
    </row>
    <row r="78" spans="2:8">
      <c r="B78" s="828"/>
      <c r="C78" s="829"/>
      <c r="D78" s="828"/>
    </row>
    <row r="79" spans="2:8">
      <c r="B79" s="828"/>
      <c r="C79" s="829"/>
      <c r="D79" s="828"/>
    </row>
    <row r="80" spans="2:8">
      <c r="B80" s="828"/>
      <c r="C80" s="829"/>
      <c r="D80" s="828"/>
    </row>
    <row r="81" spans="2:4">
      <c r="B81" s="828"/>
      <c r="C81" s="829"/>
      <c r="D81" s="828"/>
    </row>
    <row r="82" spans="2:4">
      <c r="B82" s="828"/>
      <c r="C82" s="829"/>
      <c r="D82" s="828"/>
    </row>
    <row r="83" spans="2:4">
      <c r="B83" s="828"/>
      <c r="C83" s="829"/>
      <c r="D83" s="828"/>
    </row>
    <row r="84" spans="2:4">
      <c r="B84" s="828"/>
      <c r="C84" s="829"/>
      <c r="D84" s="828"/>
    </row>
    <row r="85" spans="2:4">
      <c r="B85" s="828"/>
      <c r="C85" s="829"/>
      <c r="D85" s="828"/>
    </row>
    <row r="86" spans="2:4">
      <c r="B86" s="828"/>
      <c r="C86" s="829"/>
      <c r="D86" s="828"/>
    </row>
    <row r="87" spans="2:4">
      <c r="B87" s="828"/>
      <c r="C87" s="829"/>
      <c r="D87" s="828"/>
    </row>
    <row r="88" spans="2:4">
      <c r="B88" s="828"/>
      <c r="C88" s="829"/>
      <c r="D88" s="828"/>
    </row>
    <row r="89" spans="2:4">
      <c r="B89" s="828"/>
      <c r="C89" s="829"/>
      <c r="D89" s="828"/>
    </row>
    <row r="90" spans="2:4">
      <c r="B90" s="828"/>
      <c r="C90" s="829"/>
      <c r="D90" s="828"/>
    </row>
    <row r="91" spans="2:4">
      <c r="B91" s="828"/>
      <c r="C91" s="829"/>
      <c r="D91" s="828"/>
    </row>
    <row r="92" spans="2:4">
      <c r="B92" s="828"/>
      <c r="C92" s="829"/>
      <c r="D92" s="828"/>
    </row>
    <row r="93" spans="2:4">
      <c r="B93" s="828"/>
      <c r="C93" s="829"/>
      <c r="D93" s="828"/>
    </row>
    <row r="94" spans="2:4">
      <c r="B94" s="828"/>
      <c r="C94" s="829"/>
      <c r="D94" s="828"/>
    </row>
    <row r="95" spans="2:4">
      <c r="B95" s="828"/>
      <c r="C95" s="829"/>
      <c r="D95" s="828"/>
    </row>
    <row r="96" spans="2:4">
      <c r="B96" s="828"/>
      <c r="C96" s="829"/>
      <c r="D96" s="828"/>
    </row>
    <row r="97" spans="2:4">
      <c r="B97" s="828"/>
      <c r="C97" s="829"/>
      <c r="D97" s="828"/>
    </row>
    <row r="98" spans="2:4">
      <c r="B98" s="828"/>
      <c r="C98" s="829"/>
      <c r="D98" s="828"/>
    </row>
    <row r="99" spans="2:4">
      <c r="B99" s="828"/>
      <c r="C99" s="829"/>
      <c r="D99" s="828"/>
    </row>
    <row r="100" spans="2:4">
      <c r="B100" s="828"/>
      <c r="C100" s="829"/>
      <c r="D100" s="828"/>
    </row>
    <row r="101" spans="2:4">
      <c r="B101" s="828"/>
      <c r="C101" s="829"/>
      <c r="D101" s="828"/>
    </row>
    <row r="102" spans="2:4">
      <c r="B102" s="828"/>
      <c r="C102" s="829"/>
      <c r="D102" s="828"/>
    </row>
    <row r="103" spans="2:4">
      <c r="B103" s="828"/>
      <c r="C103" s="829"/>
      <c r="D103" s="828"/>
    </row>
    <row r="104" spans="2:4">
      <c r="B104" s="828"/>
      <c r="C104" s="829"/>
      <c r="D104" s="828"/>
    </row>
    <row r="105" spans="2:4">
      <c r="B105" s="828"/>
      <c r="C105" s="829"/>
      <c r="D105" s="828"/>
    </row>
    <row r="106" spans="2:4">
      <c r="B106" s="828"/>
      <c r="C106" s="829"/>
      <c r="D106" s="828"/>
    </row>
    <row r="107" spans="2:4">
      <c r="B107" s="828"/>
      <c r="C107" s="829"/>
      <c r="D107" s="828"/>
    </row>
    <row r="108" spans="2:4">
      <c r="B108" s="828"/>
      <c r="C108" s="829"/>
      <c r="D108" s="828"/>
    </row>
    <row r="109" spans="2:4">
      <c r="B109" s="828"/>
      <c r="C109" s="829"/>
      <c r="D109" s="828"/>
    </row>
    <row r="110" spans="2:4">
      <c r="B110" s="828"/>
      <c r="C110" s="829"/>
      <c r="D110" s="828"/>
    </row>
    <row r="111" spans="2:4">
      <c r="B111" s="828"/>
      <c r="C111" s="829"/>
      <c r="D111" s="828"/>
    </row>
    <row r="112" spans="2:4">
      <c r="B112" s="828"/>
      <c r="C112" s="829"/>
      <c r="D112" s="828"/>
    </row>
    <row r="113" spans="2:4">
      <c r="B113" s="828"/>
      <c r="C113" s="829"/>
      <c r="D113" s="828"/>
    </row>
    <row r="114" spans="2:4">
      <c r="B114" s="828"/>
      <c r="C114" s="829"/>
      <c r="D114" s="828"/>
    </row>
    <row r="115" spans="2:4">
      <c r="B115" s="828"/>
      <c r="C115" s="829"/>
      <c r="D115" s="828"/>
    </row>
    <row r="116" spans="2:4">
      <c r="B116" s="828"/>
      <c r="C116" s="829"/>
      <c r="D116" s="828"/>
    </row>
    <row r="117" spans="2:4">
      <c r="B117" s="828"/>
      <c r="C117" s="829"/>
      <c r="D117" s="828"/>
    </row>
    <row r="118" spans="2:4">
      <c r="B118" s="828"/>
      <c r="C118" s="829"/>
      <c r="D118" s="828"/>
    </row>
    <row r="119" spans="2:4">
      <c r="B119" s="828"/>
      <c r="C119" s="829"/>
      <c r="D119" s="828"/>
    </row>
    <row r="120" spans="2:4">
      <c r="B120" s="828"/>
      <c r="C120" s="829"/>
      <c r="D120" s="828"/>
    </row>
    <row r="121" spans="2:4">
      <c r="B121" s="828"/>
      <c r="C121" s="829"/>
      <c r="D121" s="828"/>
    </row>
    <row r="122" spans="2:4">
      <c r="B122" s="828"/>
      <c r="C122" s="829"/>
      <c r="D122" s="828"/>
    </row>
    <row r="123" spans="2:4">
      <c r="B123" s="828"/>
      <c r="C123" s="829"/>
      <c r="D123" s="828"/>
    </row>
    <row r="124" spans="2:4">
      <c r="B124" s="828"/>
      <c r="C124" s="829"/>
      <c r="D124" s="828"/>
    </row>
    <row r="125" spans="2:4">
      <c r="B125" s="828"/>
      <c r="C125" s="829"/>
      <c r="D125" s="828"/>
    </row>
    <row r="126" spans="2:4">
      <c r="B126" s="828"/>
      <c r="C126" s="829"/>
      <c r="D126" s="828"/>
    </row>
    <row r="127" spans="2:4">
      <c r="B127" s="828"/>
      <c r="C127" s="829"/>
      <c r="D127" s="828"/>
    </row>
    <row r="128" spans="2:4">
      <c r="B128" s="828"/>
      <c r="C128" s="829"/>
      <c r="D128" s="828"/>
    </row>
    <row r="129" spans="2:4">
      <c r="B129" s="828"/>
      <c r="C129" s="829"/>
      <c r="D129" s="828"/>
    </row>
    <row r="130" spans="2:4">
      <c r="B130" s="828"/>
      <c r="C130" s="829"/>
      <c r="D130" s="828"/>
    </row>
    <row r="131" spans="2:4">
      <c r="B131" s="828"/>
      <c r="C131" s="829"/>
      <c r="D131" s="828"/>
    </row>
    <row r="132" spans="2:4">
      <c r="B132" s="828"/>
      <c r="C132" s="829"/>
      <c r="D132" s="828"/>
    </row>
    <row r="133" spans="2:4">
      <c r="B133" s="828"/>
      <c r="C133" s="829"/>
      <c r="D133" s="828"/>
    </row>
    <row r="134" spans="2:4">
      <c r="B134" s="828"/>
      <c r="C134" s="829"/>
      <c r="D134" s="828"/>
    </row>
    <row r="135" spans="2:4">
      <c r="B135" s="828"/>
      <c r="C135" s="829"/>
      <c r="D135" s="828"/>
    </row>
    <row r="136" spans="2:4">
      <c r="B136" s="828"/>
      <c r="C136" s="829"/>
      <c r="D136" s="828"/>
    </row>
    <row r="137" spans="2:4">
      <c r="B137" s="828"/>
      <c r="C137" s="829"/>
      <c r="D137" s="828"/>
    </row>
    <row r="138" spans="2:4">
      <c r="B138" s="828"/>
      <c r="C138" s="829"/>
      <c r="D138" s="828"/>
    </row>
    <row r="815" spans="9:9">
      <c r="I815">
        <v>7</v>
      </c>
    </row>
  </sheetData>
  <sheetProtection algorithmName="SHA-512" hashValue="kmbqVXHZlmcEwHf9RdjwKlWB3ALyKwngplvYRWAgjgNfLXZDmBoYBs4SEW2TayPWyeG0xHpg3ILJgs2FH/ocSg==" saltValue="y7bFYLvpowxqmVTHYaHp6w==" spinCount="100000" sheet="1" objects="1" scenarios="1" formatCells="0" formatColumns="0" formatRows="0"/>
  <mergeCells count="68">
    <mergeCell ref="G68:H70"/>
    <mergeCell ref="G71:H73"/>
    <mergeCell ref="G74:H76"/>
    <mergeCell ref="F74:F76"/>
    <mergeCell ref="B75:D75"/>
    <mergeCell ref="F68:F70"/>
    <mergeCell ref="B69:D69"/>
    <mergeCell ref="F71:F73"/>
    <mergeCell ref="B72:D72"/>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 ref="B69" location="Notes!A1" display="go to Carbon Cals" xr:uid="{22458B83-1475-43A7-B094-A8B90A19A26E}"/>
    <hyperlink ref="B69:D69" location="'Carbon Calculations'!B5" display="go to carbon calculations" xr:uid="{14B60A82-6049-4A06-8CA3-86D1E336056C}"/>
    <hyperlink ref="B72" location="Notes!A1" display="go to Carbon Cals" xr:uid="{42F4D79C-A252-43FA-8C1F-A4718C5B7A3D}"/>
    <hyperlink ref="B72:D72" location="'Carbon Calculations'!B6" display="go to carbon calculations" xr:uid="{44DEE20B-9232-42AB-BEAB-22761923B441}"/>
    <hyperlink ref="B75" location="Notes!A1" display="go to Carbon Cals" xr:uid="{52E5C999-4621-412A-AA83-3CF5F006E58C}"/>
    <hyperlink ref="B75:D75" location="'Carbon Calculations'!B13" display="go to carbon calculations" xr:uid="{1D76041E-4EBD-408E-9CE2-CB0101CA972E}"/>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R124"/>
  <sheetViews>
    <sheetView workbookViewId="0"/>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 width="9.109375" style="9"/>
    <col min="17" max="18" width="12.5546875" style="9" bestFit="1" customWidth="1"/>
    <col min="19" max="16384" width="9.109375" style="9"/>
  </cols>
  <sheetData>
    <row r="1" spans="1:18">
      <c r="A1" s="8"/>
      <c r="B1" s="8" t="s">
        <v>12</v>
      </c>
      <c r="C1" s="8" t="s">
        <v>69</v>
      </c>
      <c r="D1" s="8" t="s">
        <v>113</v>
      </c>
      <c r="F1" s="18" t="s">
        <v>89</v>
      </c>
      <c r="G1" s="19"/>
      <c r="M1" s="31" t="s">
        <v>100</v>
      </c>
      <c r="N1" s="8" t="s">
        <v>23</v>
      </c>
      <c r="O1" s="8" t="s">
        <v>21</v>
      </c>
      <c r="P1" s="8" t="s">
        <v>22</v>
      </c>
      <c r="Q1" s="8" t="s">
        <v>1277</v>
      </c>
      <c r="R1" s="8" t="s">
        <v>1278</v>
      </c>
    </row>
    <row r="2" spans="1:18">
      <c r="A2" s="8" t="s">
        <v>23</v>
      </c>
      <c r="B2" s="20">
        <f>1000000/(F2*100)</f>
        <v>1336.8055610095364</v>
      </c>
      <c r="C2" s="20">
        <v>1000</v>
      </c>
      <c r="D2" s="20">
        <f>1000/F5</f>
        <v>3785.4117999999999</v>
      </c>
      <c r="E2" s="10"/>
      <c r="F2" s="28">
        <v>7.4805194500000001</v>
      </c>
      <c r="G2" s="16" t="s">
        <v>86</v>
      </c>
      <c r="H2" s="9" t="s">
        <v>90</v>
      </c>
      <c r="M2" s="8" t="s">
        <v>23</v>
      </c>
      <c r="N2" s="20">
        <v>1</v>
      </c>
      <c r="O2" s="20">
        <f>F4</f>
        <v>3.7854117999999999</v>
      </c>
      <c r="P2" s="32">
        <v>3.068883289737228</v>
      </c>
      <c r="Q2" s="931" t="s">
        <v>700</v>
      </c>
      <c r="R2" s="931" t="s">
        <v>1276</v>
      </c>
    </row>
    <row r="3" spans="1:18">
      <c r="A3" s="8" t="s">
        <v>21</v>
      </c>
      <c r="B3" s="20">
        <f>1000000/F4/(F2*100)</f>
        <v>353.14666716301156</v>
      </c>
      <c r="C3" s="20">
        <f>1000/F4</f>
        <v>264.17205124155845</v>
      </c>
      <c r="D3" s="20">
        <v>1000</v>
      </c>
      <c r="F3" s="21">
        <v>43560</v>
      </c>
      <c r="G3" s="16" t="s">
        <v>91</v>
      </c>
      <c r="H3" s="11"/>
      <c r="M3" s="8" t="s">
        <v>21</v>
      </c>
      <c r="N3" s="20">
        <f>1/O2</f>
        <v>0.26417205124155846</v>
      </c>
      <c r="O3" s="20">
        <v>1</v>
      </c>
      <c r="P3" s="20">
        <v>0.8107131936708255</v>
      </c>
      <c r="Q3" s="931" t="s">
        <v>702</v>
      </c>
      <c r="R3" s="931" t="s">
        <v>1275</v>
      </c>
    </row>
    <row r="4" spans="1:18">
      <c r="A4" s="8" t="s">
        <v>22</v>
      </c>
      <c r="B4" s="20">
        <f>F3/100</f>
        <v>435.6</v>
      </c>
      <c r="C4" s="20">
        <f>F3*F2/1000</f>
        <v>325.851427242</v>
      </c>
      <c r="D4" s="20">
        <f>F3*F2*F4/1000</f>
        <v>1233.4818377287083</v>
      </c>
      <c r="F4" s="27">
        <v>3.7854117999999999</v>
      </c>
      <c r="G4" s="16" t="s">
        <v>88</v>
      </c>
      <c r="H4" s="11"/>
      <c r="M4" s="8" t="s">
        <v>22</v>
      </c>
      <c r="N4" s="32">
        <f>325851.427242/1000000</f>
        <v>0.325851427242</v>
      </c>
      <c r="O4" s="20">
        <v>1.2334818377287082</v>
      </c>
      <c r="P4" s="20">
        <v>1</v>
      </c>
      <c r="Q4" s="931" t="s">
        <v>1273</v>
      </c>
      <c r="R4" s="931" t="s">
        <v>1274</v>
      </c>
    </row>
    <row r="5" spans="1:18">
      <c r="F5" s="26">
        <f>1/F4</f>
        <v>0.26417205124155846</v>
      </c>
      <c r="G5" s="17" t="s">
        <v>87</v>
      </c>
      <c r="H5" s="11"/>
    </row>
    <row r="6" spans="1:18" ht="13.8" thickBot="1">
      <c r="H6" s="11"/>
    </row>
    <row r="7" spans="1:18" ht="13.8" thickBot="1">
      <c r="A7" s="11" t="s">
        <v>110</v>
      </c>
      <c r="B7" s="12">
        <v>1</v>
      </c>
      <c r="C7" s="9" t="s">
        <v>68</v>
      </c>
      <c r="D7" s="9">
        <f>MATCH(C7,A2:A4,0)</f>
        <v>1</v>
      </c>
      <c r="H7" s="11"/>
    </row>
    <row r="8" spans="1:18" ht="13.8" thickBot="1">
      <c r="A8" s="11"/>
      <c r="E8" s="9">
        <f>INDEX($B$2:$D$4,MATCH(C7,A2:A4,0),MATCH(C9,B1:D1,0))</f>
        <v>1336.8055610095364</v>
      </c>
      <c r="H8" s="11"/>
    </row>
    <row r="9" spans="1:18" ht="13.8" thickBot="1">
      <c r="A9" s="11" t="s">
        <v>111</v>
      </c>
      <c r="B9" s="13">
        <v>10</v>
      </c>
      <c r="C9" s="9" t="s">
        <v>12</v>
      </c>
      <c r="D9" s="9">
        <f>MATCH(C9,B1:D1,0)</f>
        <v>1</v>
      </c>
      <c r="H9" s="11"/>
    </row>
    <row r="11" spans="1:18">
      <c r="B11" s="11" t="s">
        <v>112</v>
      </c>
      <c r="C11" s="14">
        <f>B7*B9*E8</f>
        <v>13368.055610095364</v>
      </c>
      <c r="I11" s="9" t="s">
        <v>99</v>
      </c>
    </row>
    <row r="12" spans="1:18">
      <c r="G12" s="9" t="s">
        <v>83</v>
      </c>
      <c r="I12" s="30" t="s">
        <v>96</v>
      </c>
      <c r="J12" s="30"/>
      <c r="K12" s="8"/>
      <c r="L12" s="30" t="s">
        <v>97</v>
      </c>
    </row>
    <row r="13" spans="1:18" ht="15.6">
      <c r="G13" s="9" t="s">
        <v>82</v>
      </c>
      <c r="H13" s="34">
        <v>547500</v>
      </c>
      <c r="I13" s="29" t="s">
        <v>98</v>
      </c>
      <c r="J13" s="33" t="s">
        <v>101</v>
      </c>
      <c r="K13" s="9">
        <f>H13*INDEX(N2:P4,MATCH(I13,M2:M4,0),MATCH(L13,N1:P1,0))</f>
        <v>2072512.9605</v>
      </c>
      <c r="L13" s="29" t="s">
        <v>21</v>
      </c>
    </row>
    <row r="14" spans="1:18">
      <c r="K14" s="10"/>
    </row>
    <row r="15" spans="1:18">
      <c r="B15" s="9" t="s">
        <v>115</v>
      </c>
      <c r="H15" s="101"/>
    </row>
    <row r="16" spans="1:18">
      <c r="B16" s="8" t="s">
        <v>12</v>
      </c>
      <c r="C16" s="8" t="s">
        <v>69</v>
      </c>
      <c r="D16" s="8" t="s">
        <v>113</v>
      </c>
      <c r="H16" s="9">
        <f>1500000000/1000000*365</f>
        <v>547500</v>
      </c>
      <c r="I16" s="101" t="s">
        <v>147</v>
      </c>
    </row>
    <row r="17" spans="1:5">
      <c r="A17" s="8" t="s">
        <v>68</v>
      </c>
      <c r="B17" s="9">
        <f>1000000/(7.48*100)</f>
        <v>1336.8983957219252</v>
      </c>
      <c r="C17" s="9">
        <v>1000</v>
      </c>
      <c r="D17" s="9">
        <f>1000000/CONVERT(1000,"l","gal")</f>
        <v>3785.4117839999994</v>
      </c>
    </row>
    <row r="18" spans="1:5">
      <c r="A18" s="8" t="s">
        <v>84</v>
      </c>
      <c r="B18" s="9">
        <f>1000000/CONVERT((7.48*100),"gal","l")</f>
        <v>353.171192992177</v>
      </c>
      <c r="C18" s="9">
        <f>1000000/CONVERT(1000,"gal","l")</f>
        <v>264.17205235814845</v>
      </c>
      <c r="D18" s="9">
        <v>1000</v>
      </c>
    </row>
    <row r="19" spans="1:5">
      <c r="A19" s="8" t="s">
        <v>48</v>
      </c>
      <c r="B19" s="9">
        <f>43560/100</f>
        <v>435.6</v>
      </c>
      <c r="C19" s="9">
        <f>43560/(1000/7.48)</f>
        <v>325.8288</v>
      </c>
      <c r="D19" s="9">
        <f>F3/(CONVERT(1000,"l","gal")/F2)</f>
        <v>1233.4818325150852</v>
      </c>
    </row>
    <row r="21" spans="1:5" ht="13.8" thickBot="1"/>
    <row r="22" spans="1:5" ht="13.8" thickBot="1">
      <c r="A22" s="11" t="s">
        <v>115</v>
      </c>
      <c r="B22" s="12">
        <v>5</v>
      </c>
      <c r="C22" s="9" t="s">
        <v>69</v>
      </c>
      <c r="D22" s="9">
        <f>MATCH(C22,B16:D16,0)</f>
        <v>2</v>
      </c>
    </row>
    <row r="23" spans="1:5" ht="13.8" thickBot="1">
      <c r="A23" s="11"/>
      <c r="E23" s="9">
        <f>INDEX($B$2:$D$4,MATCH(C24,A2:A4,0),MATCH(C22,B1:D1,0))</f>
        <v>1000</v>
      </c>
    </row>
    <row r="24" spans="1:5" ht="13.8" thickBot="1">
      <c r="A24" s="11" t="s">
        <v>116</v>
      </c>
      <c r="B24" s="13">
        <v>5000</v>
      </c>
      <c r="C24" s="9" t="s">
        <v>68</v>
      </c>
      <c r="D24" s="9">
        <f>MATCH(C24,A17:A19,0)</f>
        <v>1</v>
      </c>
    </row>
    <row r="26" spans="1:5">
      <c r="B26" s="11" t="s">
        <v>112</v>
      </c>
      <c r="C26" s="15">
        <f>(B22*E23)/B24</f>
        <v>1</v>
      </c>
    </row>
    <row r="27" spans="1:5">
      <c r="C27" s="9" t="s">
        <v>10</v>
      </c>
    </row>
    <row r="28" spans="1:5">
      <c r="C28" s="9" t="s">
        <v>11</v>
      </c>
    </row>
    <row r="31" spans="1:5">
      <c r="A31" s="10" t="s">
        <v>85</v>
      </c>
    </row>
    <row r="33" spans="1:2">
      <c r="B33" s="9" t="s">
        <v>81</v>
      </c>
    </row>
    <row r="37" spans="1:2">
      <c r="A37" s="10" t="s">
        <v>95</v>
      </c>
    </row>
    <row r="38" spans="1:2">
      <c r="A38" s="22" t="s">
        <v>74</v>
      </c>
    </row>
    <row r="39" spans="1:2">
      <c r="A39" s="9" t="s">
        <v>78</v>
      </c>
    </row>
    <row r="40" spans="1:2">
      <c r="A40" s="9" t="s">
        <v>92</v>
      </c>
    </row>
    <row r="42" spans="1:2">
      <c r="A42" s="25" t="s">
        <v>93</v>
      </c>
    </row>
    <row r="43" spans="1:2">
      <c r="A43" s="25" t="s">
        <v>94</v>
      </c>
    </row>
    <row r="44" spans="1:2">
      <c r="A44" s="25" t="s">
        <v>77</v>
      </c>
    </row>
    <row r="45" spans="1:2">
      <c r="A45" s="25" t="s">
        <v>72</v>
      </c>
    </row>
    <row r="47" spans="1:2">
      <c r="A47" s="23" t="s">
        <v>73</v>
      </c>
    </row>
    <row r="48" spans="1:2">
      <c r="A48" s="23" t="s">
        <v>75</v>
      </c>
    </row>
    <row r="49" spans="1:1">
      <c r="A49" s="23" t="s">
        <v>76</v>
      </c>
    </row>
    <row r="50" spans="1:1">
      <c r="A50" s="23" t="s">
        <v>72</v>
      </c>
    </row>
    <row r="52" spans="1:1">
      <c r="A52" s="24" t="s">
        <v>79</v>
      </c>
    </row>
    <row r="53" spans="1:1">
      <c r="A53" s="24" t="s">
        <v>75</v>
      </c>
    </row>
    <row r="54" spans="1:1">
      <c r="A54" s="24" t="s">
        <v>76</v>
      </c>
    </row>
    <row r="55" spans="1:1">
      <c r="A55" s="24" t="s">
        <v>72</v>
      </c>
    </row>
    <row r="78" spans="1:6">
      <c r="A78" s="101" t="s">
        <v>145</v>
      </c>
      <c r="E78" s="9" t="str">
        <f>"Total Volume of NRW = "&amp;TEXT(SUM(C90,C91,C94,C95,C97,C99),"#,###")&amp;" "&amp;Worksheet!J15</f>
        <v xml:space="preserve">Total Volume of NRW =  </v>
      </c>
    </row>
    <row r="79" spans="1:6" ht="13.8">
      <c r="B79" s="52"/>
      <c r="C79" s="52"/>
      <c r="D79" s="52"/>
      <c r="E79" s="9" t="str">
        <f>IFERROR("Total Cost of NRW = $"&amp;TEXT(SUM(D90,D91,D94,D95,D96,D97,D99),"#,###")&amp;"/Yr","")</f>
        <v>Total Cost of NRW = $/Yr</v>
      </c>
      <c r="F79" s="52"/>
    </row>
    <row r="80" spans="1:6">
      <c r="A80"/>
      <c r="B80"/>
      <c r="C80" s="53" t="str">
        <f>"Volume ("&amp;Worksheet!J15&amp;")"</f>
        <v>Volume ()</v>
      </c>
      <c r="D80" s="53" t="s">
        <v>143</v>
      </c>
      <c r="E80" s="94" t="s">
        <v>1076</v>
      </c>
      <c r="F80"/>
    </row>
    <row r="81" spans="1:6">
      <c r="A81" s="46" t="s">
        <v>123</v>
      </c>
      <c r="B81" s="46"/>
      <c r="C81" s="122" t="str">
        <f>IF(Dashboard!BO$2&gt;0,"",Worksheet!H15)</f>
        <v/>
      </c>
      <c r="D81" s="123" t="str">
        <f>IF(Dashboard!BO$2&gt;0,"",C81*(Worksheet!$H$77))</f>
        <v/>
      </c>
      <c r="E81" s="595" t="str">
        <f>D81</f>
        <v/>
      </c>
      <c r="F81" s="84" t="s">
        <v>1075</v>
      </c>
    </row>
    <row r="82" spans="1:6">
      <c r="A82" s="46" t="str">
        <f>A81&amp;" MA"</f>
        <v>Vol. from own sources: MA</v>
      </c>
      <c r="B82" s="46"/>
      <c r="C82" s="122" t="str">
        <f>IF(Dashboard!BO$2&gt;0,"",Worksheet!X15)</f>
        <v/>
      </c>
      <c r="D82" s="123" t="str">
        <f>IF(Dashboard!BO$2&gt;0,"",C82*(Worksheet!$H$77))</f>
        <v/>
      </c>
      <c r="E82" s="595" t="str">
        <f t="shared" ref="E82:E100" si="0">D82</f>
        <v/>
      </c>
      <c r="F82"/>
    </row>
    <row r="83" spans="1:6">
      <c r="A83" t="s">
        <v>0</v>
      </c>
      <c r="B83"/>
      <c r="C83" s="122" t="str">
        <f>IF(Dashboard!BO$2&gt;0,"",Worksheet!H16)</f>
        <v/>
      </c>
      <c r="D83" s="123" t="str">
        <f>IF(Dashboard!BO$2&gt;0,"",C83*(Worksheet!$H$77))</f>
        <v/>
      </c>
      <c r="E83" s="595" t="str">
        <f t="shared" si="0"/>
        <v/>
      </c>
      <c r="F83"/>
    </row>
    <row r="84" spans="1:6">
      <c r="A84" t="str">
        <f>A83&amp;" MA"</f>
        <v>Water imported: MA</v>
      </c>
      <c r="B84"/>
      <c r="C84" s="122" t="str">
        <f>IF(Dashboard!BO$2&gt;0,"",Worksheet!X16)</f>
        <v/>
      </c>
      <c r="D84" s="123" t="str">
        <f>IF(Dashboard!BO$2&gt;0,"",C84*(Worksheet!$H$77))</f>
        <v/>
      </c>
      <c r="E84" s="595" t="str">
        <f t="shared" si="0"/>
        <v/>
      </c>
      <c r="F84"/>
    </row>
    <row r="85" spans="1:6">
      <c r="A85" t="s">
        <v>1</v>
      </c>
      <c r="B85"/>
      <c r="C85" s="122" t="str">
        <f>IF(Dashboard!BO$2&gt;0,"",Worksheet!H17)</f>
        <v/>
      </c>
      <c r="D85" s="123" t="str">
        <f>IF(Dashboard!BO$2&gt;0,"",C85*(Worksheet!$H$77))</f>
        <v/>
      </c>
      <c r="E85" s="595" t="str">
        <f t="shared" si="0"/>
        <v/>
      </c>
      <c r="F85"/>
    </row>
    <row r="86" spans="1:6">
      <c r="A86" t="str">
        <f>A85&amp;" MA"</f>
        <v>Water exported: MA</v>
      </c>
      <c r="B86"/>
      <c r="C86" s="122" t="str">
        <f>IF(Dashboard!BO$2&gt;0,"",Worksheet!X17)</f>
        <v/>
      </c>
      <c r="D86" s="123" t="str">
        <f>IF(Dashboard!BO$2&gt;0,"",C86*(Worksheet!$H$77))</f>
        <v/>
      </c>
      <c r="E86" s="595" t="str">
        <f t="shared" si="0"/>
        <v/>
      </c>
      <c r="F86"/>
    </row>
    <row r="87" spans="1:6">
      <c r="A87" t="s">
        <v>107</v>
      </c>
      <c r="B87"/>
      <c r="C87" s="122" t="str">
        <f>IF(Dashboard!BO$2&gt;0,"",Worksheet!H19)</f>
        <v/>
      </c>
      <c r="D87" s="123" t="str">
        <f>IF(Dashboard!BO$2&gt;0,"",C87*(Worksheet!$H$77))</f>
        <v/>
      </c>
      <c r="E87" s="595" t="str">
        <f t="shared" si="0"/>
        <v/>
      </c>
      <c r="F87"/>
    </row>
    <row r="88" spans="1:6">
      <c r="A88" s="158" t="s">
        <v>1250</v>
      </c>
      <c r="B88"/>
      <c r="C88" s="122" t="str">
        <f>IF(Dashboard!BO$2&gt;0,"",Worksheet!H23)</f>
        <v/>
      </c>
      <c r="D88" s="123" t="str">
        <f>IF(Dashboard!BO$2&gt;0,"",C88*(Worksheet!$H$76*1000))</f>
        <v/>
      </c>
      <c r="E88" s="595" t="str">
        <f t="shared" si="0"/>
        <v/>
      </c>
      <c r="F88"/>
    </row>
    <row r="89" spans="1:6">
      <c r="A89" s="158" t="s">
        <v>1251</v>
      </c>
      <c r="B89"/>
      <c r="C89" s="122" t="str">
        <f>IF(Dashboard!BO$2&gt;0,"",Worksheet!H24)</f>
        <v/>
      </c>
      <c r="D89" s="123" t="str">
        <f>IF(Dashboard!BO$2&gt;0,"",C89*(Worksheet!$H$76*1000))</f>
        <v/>
      </c>
      <c r="E89" s="595" t="str">
        <f t="shared" si="0"/>
        <v/>
      </c>
      <c r="F89"/>
    </row>
    <row r="90" spans="1:6">
      <c r="A90" s="937" t="str">
        <f>"Unbilled Metered (UMAC) valued at "&amp;A76&amp;""</f>
        <v xml:space="preserve">Unbilled Metered (UMAC) valued at </v>
      </c>
      <c r="B90" s="938"/>
      <c r="C90" s="939" t="str">
        <f>IF(Dashboard!BO$2&gt;0,"",Worksheet!H25)</f>
        <v/>
      </c>
      <c r="D90" s="940" t="str">
        <f>IF(Dashboard!BO$2&gt;0,"",IF(ISBLANK('Start Page'!AB22),"",IF(AND(ISBLANK(Worksheet!H77),Worksheet!Z77&lt;&gt;1),"",Worksheet!H25*(IF(Dashboard!BD29=FALSE,Worksheet!H77,IF(Dashboard!BD29=TRUE,Worksheet!H76*INDEX(Sheet1!B2:D4,MATCH('Start Page'!AB22,Sheet1!A2:A4,0),MATCH(Worksheet!J76,Sheet1!B1:D1,0)),""))))))</f>
        <v/>
      </c>
      <c r="E90" s="941" t="str">
        <f t="shared" si="0"/>
        <v/>
      </c>
      <c r="F90"/>
    </row>
    <row r="91" spans="1:6">
      <c r="A91" s="942" t="str">
        <f>"Unbilled Unmetered (UUAC) valued at "&amp;A76&amp;""</f>
        <v xml:space="preserve">Unbilled Unmetered (UUAC) valued at </v>
      </c>
      <c r="B91" s="938"/>
      <c r="C91" s="939" t="str">
        <f>IF(Dashboard!BO$2&gt;0,"",Worksheet!H26)</f>
        <v/>
      </c>
      <c r="D91" s="940" t="str">
        <f>IF(Dashboard!BO$2&gt;0,"",IF(ISBLANK('Start Page'!AB22),"",IF(AND(ISBLANK(Worksheet!H77),Worksheet!Z77&lt;&gt;1),"",Worksheet!H26*(IF(Dashboard!BD29=FALSE,Worksheet!H77,IF(Dashboard!BD29=TRUE,Worksheet!H76*INDEX(Sheet1!B2:D4,MATCH('Start Page'!AB22,Sheet1!A2:A4,0),MATCH(Worksheet!J76,Sheet1!B1:D1,0)),""))))))</f>
        <v/>
      </c>
      <c r="E91" s="941" t="str">
        <f t="shared" si="0"/>
        <v/>
      </c>
      <c r="F91"/>
    </row>
    <row r="92" spans="1:6">
      <c r="A92" s="158" t="s">
        <v>2</v>
      </c>
      <c r="B92" s="125" t="s">
        <v>235</v>
      </c>
      <c r="C92" s="122" t="str">
        <f>IF(Dashboard!BO$2&gt;0,"",Worksheet!H30)</f>
        <v/>
      </c>
      <c r="D92" s="123" t="str">
        <f>IF(Dashboard!BO$2&gt;0,"",C92*(Worksheet!$H$76*1000))</f>
        <v/>
      </c>
      <c r="E92" s="595" t="str">
        <f t="shared" si="0"/>
        <v/>
      </c>
      <c r="F92"/>
    </row>
    <row r="93" spans="1:6">
      <c r="A93" t="s">
        <v>49</v>
      </c>
      <c r="B93"/>
      <c r="C93" s="122" t="str">
        <f>IF(Dashboard!BO$2&gt;0,"",Worksheet!H35)</f>
        <v/>
      </c>
      <c r="D93" s="123"/>
      <c r="E93" s="595">
        <f t="shared" si="0"/>
        <v>0</v>
      </c>
      <c r="F93"/>
    </row>
    <row r="94" spans="1:6">
      <c r="A94" s="223" t="s">
        <v>672</v>
      </c>
      <c r="B94" s="46"/>
      <c r="C94" s="126" t="str">
        <f>IF(Dashboard!BO$2&gt;0,"",Worksheet!H43)</f>
        <v/>
      </c>
      <c r="D94" s="127" t="str">
        <f>IF(Dashboard!BO$2&gt;0,"",IF(ISBLANK('Start Page'!AB22),"",IF(AND(ISBLANK(Worksheet!H77),Worksheet!Z77&lt;&gt;1),"",C94*Worksheet!H76*INDEX(Sheet1!B2:D4,MATCH('Start Page'!AB22,Sheet1!A2:A4,0),MATCH(Worksheet!J76,Sheet1!B1:D1,0)))))</f>
        <v/>
      </c>
      <c r="E94" s="596" t="str">
        <f t="shared" si="0"/>
        <v/>
      </c>
      <c r="F94" s="128"/>
    </row>
    <row r="95" spans="1:6">
      <c r="A95" s="924" t="s">
        <v>673</v>
      </c>
      <c r="B95" s="923"/>
      <c r="C95" s="925">
        <f>Worksheet!X50</f>
        <v>0</v>
      </c>
      <c r="D95" s="926" t="str">
        <f>IF(Dashboard!BO$2&gt;0,"",IF(ISBLANK('Start Page'!AB22),"",IF(AND(ISBLANK(Worksheet!H77),Worksheet!Z77&lt;&gt;1),"",C95*Worksheet!H76*INDEX(Sheet1!B2:D4,MATCH('Start Page'!AB22,Sheet1!A2:A4,0),MATCH(Worksheet!J76,Sheet1!B1:D1,0)))))</f>
        <v/>
      </c>
      <c r="E95" s="927" t="str">
        <f t="shared" si="0"/>
        <v/>
      </c>
      <c r="F95" s="128"/>
    </row>
    <row r="96" spans="1:6">
      <c r="A96" s="924" t="s">
        <v>1252</v>
      </c>
      <c r="B96" s="923"/>
      <c r="C96" s="925">
        <f>Worksheet!Y50</f>
        <v>0</v>
      </c>
      <c r="D96" s="926">
        <f>C96*input_VPC</f>
        <v>0</v>
      </c>
      <c r="E96" s="927">
        <f t="shared" si="0"/>
        <v>0</v>
      </c>
      <c r="F96" s="930" t="s">
        <v>1254</v>
      </c>
    </row>
    <row r="97" spans="1:7">
      <c r="A97" s="223" t="s">
        <v>674</v>
      </c>
      <c r="B97" s="46"/>
      <c r="C97" s="126" t="str">
        <f>IF(Dashboard!BO$2&gt;0,"",Worksheet!H39)</f>
        <v/>
      </c>
      <c r="D97" s="127" t="str">
        <f>IF(Dashboard!BO$2&gt;0,"",IF(ISBLANK('Start Page'!AB22),"",IF(AND(ISBLANK(Worksheet!H77),Worksheet!Z77&lt;&gt;1),"",C97*Worksheet!H76*INDEX(Sheet1!B2:D4,MATCH('Start Page'!AB22,Sheet1!A2:A4,0),MATCH(Worksheet!J76,Sheet1!B1:D1,0)))))</f>
        <v/>
      </c>
      <c r="E97" s="596" t="str">
        <f t="shared" si="0"/>
        <v/>
      </c>
      <c r="F97" s="128"/>
    </row>
    <row r="98" spans="1:7">
      <c r="A98" s="934" t="s">
        <v>40</v>
      </c>
      <c r="B98" s="934"/>
      <c r="C98" s="935" t="str">
        <f>IF(Dashboard!BO$2&gt;0,"",Worksheet!H46)</f>
        <v/>
      </c>
      <c r="D98" s="936" t="str">
        <f>IF(Dashboard!BO$2&gt;0,"",SUM(D94:D97))</f>
        <v/>
      </c>
      <c r="E98" s="595" t="str">
        <f t="shared" si="0"/>
        <v/>
      </c>
      <c r="F98"/>
    </row>
    <row r="99" spans="1:7">
      <c r="A99" s="54" t="str">
        <f>"Real Losses valued at "&amp;A76&amp;""</f>
        <v xml:space="preserve">Real Losses valued at </v>
      </c>
      <c r="B99" s="46"/>
      <c r="C99" s="126" t="str">
        <f>IF(Dashboard!BO$2&gt;0,"",Worksheet!H51)</f>
        <v/>
      </c>
      <c r="D99" s="928" t="str">
        <f>IF(Dashboard!BO$2&gt;0,"",Dashboard!N50)</f>
        <v/>
      </c>
      <c r="E99" s="596" t="str">
        <f t="shared" si="0"/>
        <v/>
      </c>
      <c r="F99" s="595"/>
    </row>
    <row r="100" spans="1:7">
      <c r="A100" t="s">
        <v>70</v>
      </c>
      <c r="B100"/>
      <c r="C100" s="122" t="str">
        <f>IF(Dashboard!BO$2&gt;0,"",Worksheet!H57)</f>
        <v/>
      </c>
      <c r="D100" s="124" t="str">
        <f>IF(Dashboard!BO$2&gt;0,"",D98+D99+D90+D91)</f>
        <v/>
      </c>
      <c r="E100" s="595" t="str">
        <f t="shared" si="0"/>
        <v/>
      </c>
      <c r="F100"/>
      <c r="G100" s="129"/>
    </row>
    <row r="101" spans="1:7">
      <c r="A101" s="931"/>
    </row>
    <row r="102" spans="1:7">
      <c r="A102" s="931" t="s">
        <v>1253</v>
      </c>
      <c r="C102" s="932">
        <f>C95+C96</f>
        <v>0</v>
      </c>
      <c r="D102" s="129" t="e">
        <f>D95+D96</f>
        <v>#VALUE!</v>
      </c>
      <c r="E102" s="129" t="e">
        <f>E95+E96</f>
        <v>#VALUE!</v>
      </c>
    </row>
    <row r="104" spans="1:7">
      <c r="D104" s="129"/>
    </row>
    <row r="113" spans="7:15">
      <c r="G113" s="933"/>
    </row>
    <row r="122" spans="7:15" ht="75.599999999999994" customHeight="1">
      <c r="L122" s="915" t="s">
        <v>1231</v>
      </c>
      <c r="M122" s="913"/>
      <c r="N122" s="915" t="str">
        <f>Dashboard!BO3</f>
        <v>ok</v>
      </c>
      <c r="O122" s="913"/>
    </row>
    <row r="123" spans="7:15" ht="75.599999999999994" customHeight="1">
      <c r="L123" s="915" t="s">
        <v>1232</v>
      </c>
      <c r="M123" s="913"/>
      <c r="N123" s="58"/>
      <c r="O123" s="58"/>
    </row>
    <row r="124" spans="7:15" ht="75.599999999999994" customHeight="1"/>
  </sheetData>
  <sheetProtection algorithmName="SHA-512" hashValue="g2P8GmCd4fkJNL3I5ioT8IaHYfuRH0LF890OUSSOA9TBcIjMtvwE+vByaQw5k0atorhD+yGyQj9rVHb/UiMpkw==" saltValue="Ms9ERvA0ZdVFonz8ddRZEA==" spinCount="100000"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workbookViewId="0"/>
  </sheetViews>
  <sheetFormatPr defaultRowHeight="13.2"/>
  <sheetData>
    <row r="1" spans="1:4" ht="15">
      <c r="A1" s="247" t="s">
        <v>764</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J7" sqref="J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6.66406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217" t="s">
        <v>1084</v>
      </c>
      <c r="C2" s="1218"/>
      <c r="D2" s="1218"/>
      <c r="E2" s="1218"/>
      <c r="F2" s="1218"/>
      <c r="G2" s="1218"/>
      <c r="H2" s="1219"/>
      <c r="I2" s="5"/>
    </row>
    <row r="3" spans="2:16" ht="18" customHeight="1">
      <c r="B3" s="1220"/>
      <c r="C3" s="1221"/>
      <c r="D3" s="1221"/>
      <c r="E3" s="1221"/>
      <c r="F3" s="1221"/>
      <c r="G3" s="1221"/>
      <c r="H3" s="1222"/>
      <c r="I3" s="5"/>
    </row>
    <row r="4" spans="2:16" ht="4.3499999999999996" customHeight="1">
      <c r="B4" s="465"/>
      <c r="C4" s="466"/>
      <c r="D4" s="466"/>
      <c r="E4" s="466"/>
      <c r="F4" s="466"/>
      <c r="G4" s="467"/>
      <c r="H4" s="468"/>
      <c r="I4" s="5"/>
    </row>
    <row r="5" spans="2:16" ht="17.100000000000001" customHeight="1">
      <c r="B5" s="895" t="s">
        <v>777</v>
      </c>
      <c r="C5" s="466"/>
      <c r="D5" s="466"/>
      <c r="E5" s="777" t="s">
        <v>62</v>
      </c>
      <c r="F5" s="1229" t="str">
        <f>IF(ISBLANK('Start Page'!AB9),"&lt;&lt; Please enter system details on the Start Page &gt;&gt;",'Start Page'!AB9&amp;IF(ISBLANK('Start Page'!AM28),"","  ("&amp;'Start Page'!AM28&amp;")"))</f>
        <v>&lt;&lt; Please enter system details on the Start Page &gt;&gt;</v>
      </c>
      <c r="G5" s="1230"/>
      <c r="H5" s="468"/>
      <c r="I5" s="5"/>
    </row>
    <row r="6" spans="2:16" ht="18" customHeight="1">
      <c r="B6" s="962" t="s">
        <v>1285</v>
      </c>
      <c r="C6" s="967" t="str">
        <f>Dashboard!I48</f>
        <v/>
      </c>
      <c r="D6" s="466"/>
      <c r="E6" s="777" t="s">
        <v>708</v>
      </c>
      <c r="F6" s="778" t="str">
        <f>IF(ISBLANK('Start Page'!AB18),"",'Start Page'!AB18)</f>
        <v/>
      </c>
      <c r="G6" s="947" t="str">
        <f>IF(ISBLANK('Start Page'!AB20),"",TEXT('Start Page'!AB20,"mmm dd yyyy")&amp;" - "&amp;TEXT('Start Page'!AB21,"mmm dd yyyy"))</f>
        <v/>
      </c>
      <c r="H6" s="469"/>
      <c r="I6" s="5"/>
    </row>
    <row r="7" spans="2:16" ht="18" customHeight="1">
      <c r="B7" s="465"/>
      <c r="C7" s="466"/>
      <c r="D7" s="466"/>
      <c r="E7" s="777" t="s">
        <v>675</v>
      </c>
      <c r="F7" s="778" t="str">
        <f>Dashboard!BR4</f>
        <v>N/A*</v>
      </c>
      <c r="G7" s="780" t="str">
        <f>IF(F7="N/A*","* Confirm Units and Data Grading are Complete","")</f>
        <v>* Confirm Units and Data Grading are Complete</v>
      </c>
      <c r="H7" s="468"/>
      <c r="I7" s="5"/>
    </row>
    <row r="8" spans="2:16" ht="6.75" customHeight="1" thickBot="1">
      <c r="B8" s="470"/>
      <c r="C8" s="471"/>
      <c r="D8" s="471"/>
      <c r="E8" s="471"/>
      <c r="F8" s="471"/>
      <c r="G8" s="472"/>
      <c r="H8" s="473"/>
      <c r="I8" s="5"/>
    </row>
    <row r="9" spans="2:16" ht="52.95" customHeight="1" thickTop="1">
      <c r="B9" s="347"/>
      <c r="C9" s="348"/>
      <c r="D9" s="349" t="s">
        <v>1079</v>
      </c>
      <c r="E9" s="1231" t="s">
        <v>71</v>
      </c>
      <c r="F9" s="1232"/>
      <c r="G9" s="1233"/>
      <c r="H9" s="350" t="s">
        <v>670</v>
      </c>
      <c r="I9" s="5"/>
    </row>
    <row r="10" spans="2:16" ht="16.5" customHeight="1" thickBot="1">
      <c r="B10" s="347"/>
      <c r="C10" s="46"/>
      <c r="D10" s="351">
        <f>Worksheet!AG17</f>
        <v>0</v>
      </c>
      <c r="E10" s="1234"/>
      <c r="F10" s="1235"/>
      <c r="G10" s="1236"/>
      <c r="H10" s="352">
        <f>D10</f>
        <v>0</v>
      </c>
      <c r="I10" s="5"/>
    </row>
    <row r="11" spans="2:16" ht="30" customHeight="1">
      <c r="B11" s="353"/>
      <c r="C11" s="354"/>
      <c r="D11" s="355"/>
      <c r="E11" s="356"/>
      <c r="F11" s="1225" t="s">
        <v>3</v>
      </c>
      <c r="G11" s="357" t="s">
        <v>1080</v>
      </c>
      <c r="H11" s="358" t="s">
        <v>4</v>
      </c>
      <c r="I11" s="5"/>
      <c r="K11" s="886"/>
      <c r="L11" s="121"/>
      <c r="M11" s="121"/>
      <c r="N11" s="121"/>
      <c r="O11" s="121"/>
      <c r="P11" s="121"/>
    </row>
    <row r="12" spans="2:16" ht="15.75" customHeight="1">
      <c r="B12" s="1216" t="s">
        <v>681</v>
      </c>
      <c r="C12" s="359"/>
      <c r="D12" s="360"/>
      <c r="E12" s="1225" t="s">
        <v>2</v>
      </c>
      <c r="F12" s="1225"/>
      <c r="G12" s="361">
        <f>Worksheet!H23</f>
        <v>0</v>
      </c>
      <c r="H12" s="362"/>
      <c r="I12" s="5"/>
      <c r="K12" s="887"/>
    </row>
    <row r="13" spans="2:16" ht="22.5" customHeight="1">
      <c r="B13" s="1216"/>
      <c r="C13" s="363"/>
      <c r="D13" s="360"/>
      <c r="E13" s="1225"/>
      <c r="F13" s="365">
        <f>Worksheet!H23+Worksheet!H24</f>
        <v>0</v>
      </c>
      <c r="G13" s="366" t="s">
        <v>1081</v>
      </c>
      <c r="H13" s="367">
        <f>SUM(G12+G14)</f>
        <v>0</v>
      </c>
      <c r="I13" s="5"/>
      <c r="K13" s="46"/>
      <c r="L13" s="121"/>
      <c r="M13" s="121"/>
      <c r="N13" s="121"/>
      <c r="O13" s="121"/>
      <c r="P13" s="121"/>
    </row>
    <row r="14" spans="2:16" ht="15.75" customHeight="1">
      <c r="B14" s="1227" t="s">
        <v>756</v>
      </c>
      <c r="C14" s="368"/>
      <c r="D14" s="360"/>
      <c r="E14" s="369"/>
      <c r="F14" s="986"/>
      <c r="G14" s="988">
        <f>Worksheet!H24</f>
        <v>0</v>
      </c>
      <c r="H14" s="989"/>
      <c r="I14" s="5"/>
      <c r="K14" s="46"/>
    </row>
    <row r="15" spans="2:16" ht="15.75" customHeight="1">
      <c r="B15" s="1228"/>
      <c r="C15" s="368"/>
      <c r="D15" s="360"/>
      <c r="E15" s="371">
        <f>Worksheet!H30</f>
        <v>0</v>
      </c>
      <c r="F15" s="1226" t="s">
        <v>5</v>
      </c>
      <c r="G15" s="372" t="s">
        <v>1082</v>
      </c>
      <c r="H15" s="1223" t="s">
        <v>6</v>
      </c>
      <c r="I15" s="5"/>
      <c r="K15" s="46"/>
      <c r="L15" s="121"/>
      <c r="M15" s="121"/>
      <c r="N15" s="121"/>
      <c r="O15" s="121"/>
      <c r="P15" s="121"/>
    </row>
    <row r="16" spans="2:16" ht="15.75" customHeight="1">
      <c r="B16" s="373"/>
      <c r="C16" s="359"/>
      <c r="D16" s="981"/>
      <c r="E16" s="986"/>
      <c r="F16" s="1225"/>
      <c r="G16" s="374">
        <f>Worksheet!H25</f>
        <v>0</v>
      </c>
      <c r="H16" s="1224"/>
      <c r="I16" s="5"/>
      <c r="K16" s="46"/>
    </row>
    <row r="17" spans="2:16" ht="22.5" customHeight="1">
      <c r="B17" s="375">
        <f>Worksheet!AG15</f>
        <v>0</v>
      </c>
      <c r="C17" s="376"/>
      <c r="D17" s="377"/>
      <c r="E17" s="250"/>
      <c r="F17" s="378">
        <f>Worksheet!H25+Worksheet!H26</f>
        <v>0</v>
      </c>
      <c r="G17" s="364" t="s">
        <v>1083</v>
      </c>
      <c r="H17" s="362"/>
      <c r="I17" s="5"/>
      <c r="K17" s="46"/>
      <c r="L17" s="121"/>
      <c r="M17" s="121"/>
      <c r="N17" s="121"/>
      <c r="O17" s="121"/>
      <c r="P17" s="121"/>
    </row>
    <row r="18" spans="2:16" ht="15.75" customHeight="1">
      <c r="B18" s="943"/>
      <c r="C18" s="1237" t="s">
        <v>757</v>
      </c>
      <c r="D18" s="360"/>
      <c r="E18" s="379"/>
      <c r="F18" s="987"/>
      <c r="G18" s="380">
        <f>Worksheet!H26</f>
        <v>0</v>
      </c>
      <c r="H18" s="362"/>
      <c r="I18" s="5"/>
      <c r="K18" s="46"/>
    </row>
    <row r="19" spans="2:16" ht="22.5" customHeight="1">
      <c r="B19" s="373"/>
      <c r="C19" s="1237"/>
      <c r="D19" s="381" t="s">
        <v>114</v>
      </c>
      <c r="E19" s="356"/>
      <c r="F19" s="382"/>
      <c r="G19" s="590" t="s">
        <v>689</v>
      </c>
      <c r="H19" s="383">
        <f>Worksheet!H25+Worksheet!H26+Worksheet!H46+Worksheet!H51</f>
        <v>0</v>
      </c>
      <c r="I19" s="5"/>
      <c r="K19" s="46"/>
      <c r="L19" s="121"/>
      <c r="M19" s="121"/>
      <c r="N19" s="121"/>
      <c r="O19" s="121"/>
      <c r="P19" s="121"/>
    </row>
    <row r="20" spans="2:16" ht="15.75" customHeight="1">
      <c r="B20" s="373"/>
      <c r="C20" s="384">
        <f>B17+B27</f>
        <v>0</v>
      </c>
      <c r="D20" s="360"/>
      <c r="E20" s="250"/>
      <c r="F20" s="385" t="s">
        <v>50</v>
      </c>
      <c r="G20" s="374">
        <f>Worksheet!H39</f>
        <v>0</v>
      </c>
      <c r="H20" s="990"/>
      <c r="I20" s="5"/>
      <c r="K20" s="46"/>
    </row>
    <row r="21" spans="2:16" ht="14.25" customHeight="1">
      <c r="B21" s="977"/>
      <c r="C21" s="986"/>
      <c r="D21" s="384">
        <f>Worksheet!H19</f>
        <v>0</v>
      </c>
      <c r="E21" s="386"/>
      <c r="F21" s="378">
        <f>Worksheet!H46</f>
        <v>0</v>
      </c>
      <c r="G21" s="364" t="s">
        <v>688</v>
      </c>
      <c r="H21" s="362"/>
      <c r="I21" s="5"/>
      <c r="K21" s="46"/>
      <c r="L21" s="121"/>
      <c r="M21" s="121"/>
      <c r="N21" s="121"/>
      <c r="O21" s="121"/>
      <c r="P21" s="121"/>
    </row>
    <row r="22" spans="2:16" ht="15.75" customHeight="1">
      <c r="B22" s="984"/>
      <c r="C22" s="360"/>
      <c r="D22" s="985"/>
      <c r="E22" s="250"/>
      <c r="F22" s="986"/>
      <c r="G22" s="387">
        <f>Worksheet!H41</f>
        <v>0</v>
      </c>
      <c r="H22" s="362"/>
      <c r="I22" s="5"/>
      <c r="K22" s="46"/>
    </row>
    <row r="23" spans="2:16" ht="23.25" customHeight="1">
      <c r="B23" s="373"/>
      <c r="C23" s="359"/>
      <c r="D23" s="360"/>
      <c r="E23" s="250"/>
      <c r="F23" s="386"/>
      <c r="G23" s="366" t="s">
        <v>671</v>
      </c>
      <c r="H23" s="362"/>
      <c r="I23" s="5"/>
      <c r="K23" s="46"/>
      <c r="L23" s="121"/>
      <c r="M23" s="121"/>
      <c r="N23" s="121"/>
      <c r="O23" s="121"/>
      <c r="P23" s="121"/>
    </row>
    <row r="24" spans="2:16" ht="15.75" customHeight="1">
      <c r="B24" s="373"/>
      <c r="C24" s="359"/>
      <c r="D24" s="360"/>
      <c r="E24" s="388" t="s">
        <v>49</v>
      </c>
      <c r="F24" s="370"/>
      <c r="G24" s="374">
        <f>Worksheet!H43</f>
        <v>0</v>
      </c>
      <c r="H24" s="362"/>
      <c r="I24" s="5"/>
      <c r="K24" s="46"/>
    </row>
    <row r="25" spans="2:16">
      <c r="B25" s="1215" t="s">
        <v>1078</v>
      </c>
      <c r="C25" s="363"/>
      <c r="D25" s="360"/>
      <c r="E25" s="389">
        <f>Worksheet!H53</f>
        <v>0</v>
      </c>
      <c r="F25" s="386"/>
      <c r="G25" s="948" t="s">
        <v>1261</v>
      </c>
      <c r="H25" s="362"/>
      <c r="I25" s="5"/>
      <c r="K25" s="46"/>
      <c r="L25" s="121"/>
      <c r="M25" s="121"/>
      <c r="N25" s="121"/>
      <c r="O25" s="121"/>
      <c r="P25" s="121"/>
    </row>
    <row r="26" spans="2:16" ht="21" customHeight="1">
      <c r="B26" s="1216"/>
      <c r="C26" s="359"/>
      <c r="D26" s="981"/>
      <c r="E26" s="986"/>
      <c r="F26" s="385" t="s">
        <v>51</v>
      </c>
      <c r="G26" s="1214">
        <f>'Carbon Calculations'!C13</f>
        <v>0</v>
      </c>
      <c r="H26" s="362"/>
      <c r="I26" s="5"/>
    </row>
    <row r="27" spans="2:16" ht="24.75" customHeight="1">
      <c r="B27" s="375">
        <f>Worksheet!AG16</f>
        <v>0</v>
      </c>
      <c r="C27" s="376"/>
      <c r="D27" s="360"/>
      <c r="E27" s="250"/>
      <c r="F27" s="378">
        <f>Worksheet!H51</f>
        <v>0</v>
      </c>
      <c r="G27" s="1214"/>
      <c r="H27" s="362"/>
      <c r="I27" s="5"/>
      <c r="L27" s="121"/>
      <c r="M27" s="121"/>
      <c r="N27" s="121"/>
      <c r="O27" s="121"/>
      <c r="P27" s="121"/>
    </row>
    <row r="28" spans="2:16" ht="16.5" customHeight="1">
      <c r="B28" s="943"/>
      <c r="C28" s="359"/>
      <c r="D28" s="360"/>
      <c r="E28" s="250"/>
      <c r="F28" s="986"/>
      <c r="G28" s="948" t="s">
        <v>1268</v>
      </c>
      <c r="H28" s="362"/>
      <c r="I28" s="5"/>
    </row>
    <row r="29" spans="2:16" ht="12.75" customHeight="1">
      <c r="B29" s="373"/>
      <c r="C29" s="359"/>
      <c r="D29" s="360"/>
      <c r="E29" s="250"/>
      <c r="F29" s="386"/>
      <c r="G29" s="952">
        <f>F27-G26</f>
        <v>0</v>
      </c>
      <c r="H29" s="362"/>
      <c r="I29" s="5"/>
      <c r="L29" s="121"/>
      <c r="M29" s="121"/>
      <c r="N29" s="121"/>
      <c r="O29" s="121"/>
      <c r="P29" s="121"/>
    </row>
    <row r="30" spans="2:16" ht="14.4" thickBot="1">
      <c r="B30" s="390"/>
      <c r="C30" s="391"/>
      <c r="D30" s="392"/>
      <c r="E30" s="393"/>
      <c r="F30" s="394"/>
      <c r="G30" s="950"/>
      <c r="H30" s="395"/>
      <c r="I30" s="5"/>
    </row>
    <row r="31" spans="2:16" ht="14.4" thickTop="1">
      <c r="B31" s="6"/>
      <c r="C31" s="6"/>
      <c r="D31" s="6"/>
      <c r="E31" s="6"/>
      <c r="F31" s="5"/>
      <c r="G31" s="5"/>
      <c r="H31" s="5"/>
      <c r="I31" s="5"/>
    </row>
    <row r="32" spans="2:16">
      <c r="B32" s="5"/>
      <c r="C32" s="5"/>
      <c r="D32" s="5"/>
      <c r="E32" s="5"/>
      <c r="F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algorithmName="SHA-512" hashValue="XLAG7KCX7IX4Ld51NDkmSIF0MFL8tgmzSdlU3um0lsZM5x0kl6pGCuCcdCUImyfXGlkR25XGp68+hepr8/aA1A==" saltValue="Wj1HtyqDfE00qfOyGex9pQ==" spinCount="100000" sheet="1" objects="1" scenarios="1"/>
  <mergeCells count="12">
    <mergeCell ref="G26:G27"/>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A47C-3E58-4D78-81EC-9C2F33D00600}">
  <sheetPr codeName="Sheet12">
    <tabColor rgb="FFC5D9F1"/>
  </sheetPr>
  <dimension ref="A1:O37"/>
  <sheetViews>
    <sheetView showGridLines="0" showRowColHeaders="0" zoomScale="110" zoomScaleNormal="110" workbookViewId="0">
      <selection activeCell="C13" sqref="C13"/>
    </sheetView>
  </sheetViews>
  <sheetFormatPr defaultColWidth="0" defaultRowHeight="13.2"/>
  <cols>
    <col min="1" max="1" width="1.109375" style="158" customWidth="1"/>
    <col min="2" max="2" width="43.6640625" style="158" customWidth="1"/>
    <col min="3" max="3" width="13" style="158" customWidth="1"/>
    <col min="4" max="4" width="8.33203125" style="158" bestFit="1" customWidth="1"/>
    <col min="5" max="5" width="66" style="158" bestFit="1" customWidth="1"/>
    <col min="6" max="6" width="17.88671875" style="158" customWidth="1"/>
    <col min="7" max="7" width="1.109375" style="158" customWidth="1"/>
    <col min="8" max="16384" width="9.109375" style="158" hidden="1"/>
  </cols>
  <sheetData>
    <row r="1" spans="1:15" ht="42" customHeight="1" thickBot="1">
      <c r="A1" s="1204" t="s">
        <v>1316</v>
      </c>
      <c r="B1" s="1204"/>
      <c r="C1" s="1204"/>
      <c r="D1" s="1204"/>
      <c r="E1" s="1204"/>
      <c r="F1" s="1204"/>
      <c r="G1" s="1204"/>
      <c r="L1" s="266"/>
      <c r="M1" s="266"/>
      <c r="N1" s="266"/>
      <c r="O1" s="266"/>
    </row>
    <row r="2" spans="1:15" ht="14.25" customHeight="1" thickTop="1" thickBot="1">
      <c r="A2" s="992"/>
      <c r="B2" s="966"/>
      <c r="C2" s="966"/>
      <c r="D2" s="966" t="s">
        <v>1301</v>
      </c>
      <c r="G2" s="992"/>
      <c r="L2" s="266"/>
      <c r="M2" s="266"/>
      <c r="N2" s="266"/>
      <c r="O2" s="266"/>
    </row>
    <row r="3" spans="1:15" s="673" customFormat="1" ht="14.25" customHeight="1" thickTop="1" thickBot="1">
      <c r="A3" s="992"/>
      <c r="B3" s="998" t="s">
        <v>1269</v>
      </c>
      <c r="C3" s="1015" t="s">
        <v>679</v>
      </c>
      <c r="D3" s="1015" t="s">
        <v>680</v>
      </c>
      <c r="E3" s="999" t="s">
        <v>1255</v>
      </c>
      <c r="F3" s="992"/>
      <c r="G3" s="992"/>
      <c r="H3" s="992"/>
      <c r="I3" s="992"/>
      <c r="J3" s="992"/>
      <c r="K3" s="993"/>
    </row>
    <row r="4" spans="1:15" ht="15" thickTop="1" thickBot="1">
      <c r="A4" s="992"/>
      <c r="B4" s="1001" t="s">
        <v>757</v>
      </c>
      <c r="C4" s="1007">
        <f>'Water Balance'!C20</f>
        <v>0</v>
      </c>
      <c r="D4" s="750" t="str">
        <f>IFERROR(VLOOKUP('Start Page'!$AB$22,Sheet1!$M$2:$Q$4,5,FALSE),"")</f>
        <v/>
      </c>
      <c r="E4" s="1016" t="s">
        <v>1264</v>
      </c>
      <c r="G4" s="992"/>
    </row>
    <row r="5" spans="1:15" ht="16.8" thickTop="1" thickBot="1">
      <c r="A5" s="992"/>
      <c r="B5" s="991" t="s">
        <v>1256</v>
      </c>
      <c r="C5" s="995"/>
      <c r="D5" s="158" t="s">
        <v>1257</v>
      </c>
      <c r="E5" s="192" t="s">
        <v>1328</v>
      </c>
      <c r="G5" s="992"/>
    </row>
    <row r="6" spans="1:15" ht="15" thickTop="1" thickBot="1">
      <c r="A6" s="992"/>
      <c r="B6" s="991" t="s">
        <v>1258</v>
      </c>
      <c r="C6" s="995"/>
      <c r="D6" s="750" t="s">
        <v>1315</v>
      </c>
      <c r="E6" s="1017" t="s">
        <v>1263</v>
      </c>
      <c r="G6" s="992"/>
    </row>
    <row r="7" spans="1:15" ht="15" thickTop="1" thickBot="1">
      <c r="A7" s="992"/>
      <c r="B7" s="991" t="s">
        <v>1259</v>
      </c>
      <c r="C7" s="1007" t="str">
        <f>IFERROR(C6/C11,"")</f>
        <v/>
      </c>
      <c r="D7" s="750" t="str">
        <f>IFERROR("kWh/"&amp;VLOOKUP('Start Page'!$AB$22,Sheet1!$M$2:$R$4,6,FALSE),"")</f>
        <v/>
      </c>
      <c r="E7" s="1018" t="s">
        <v>1325</v>
      </c>
      <c r="F7" s="994"/>
      <c r="G7" s="992"/>
    </row>
    <row r="8" spans="1:15" ht="15" thickTop="1" thickBot="1">
      <c r="A8" s="992"/>
      <c r="B8" s="991" t="s">
        <v>1260</v>
      </c>
      <c r="C8" s="1019" t="str">
        <f>IFERROR(C5*C7/1000000,"")</f>
        <v/>
      </c>
      <c r="D8" s="750" t="str">
        <f>IFERROR("mt/"&amp;VLOOKUP('Start Page'!$AB$22,Sheet1!$M$2:$R$4,6,FALSE),"")</f>
        <v/>
      </c>
      <c r="E8" s="1017" t="s">
        <v>1326</v>
      </c>
      <c r="F8" s="994"/>
      <c r="G8" s="992"/>
      <c r="M8" s="158">
        <f>IF(B18="Display Volume",1,0)</f>
        <v>1</v>
      </c>
    </row>
    <row r="9" spans="1:15" s="673" customFormat="1" ht="14.25" customHeight="1" thickTop="1" thickBot="1">
      <c r="A9" s="992"/>
      <c r="B9" s="998" t="s">
        <v>1270</v>
      </c>
      <c r="C9" s="1015" t="s">
        <v>678</v>
      </c>
      <c r="D9" s="1015" t="s">
        <v>1287</v>
      </c>
      <c r="E9" s="999" t="s">
        <v>1255</v>
      </c>
      <c r="F9" s="992"/>
      <c r="G9" s="992"/>
      <c r="H9" s="992"/>
      <c r="I9" s="992"/>
      <c r="J9" s="992"/>
      <c r="K9" s="993"/>
      <c r="M9" s="673" t="str">
        <f>IF(M8=1,C10,D10)</f>
        <v/>
      </c>
    </row>
    <row r="10" spans="1:15" ht="15" thickTop="1" thickBot="1">
      <c r="A10" s="992"/>
      <c r="C10" s="1000" t="str">
        <f>IFERROR(VLOOKUP('Start Page'!$AB$22,Sheet1!$M$2:$Q$4,5,FALSE),"")</f>
        <v/>
      </c>
      <c r="D10" s="1000" t="s">
        <v>1293</v>
      </c>
      <c r="E10" s="1016" t="s">
        <v>1294</v>
      </c>
      <c r="G10" s="992"/>
    </row>
    <row r="11" spans="1:15" ht="15" thickTop="1" thickBot="1">
      <c r="A11" s="992"/>
      <c r="B11" s="1001" t="s">
        <v>757</v>
      </c>
      <c r="C11" s="1007">
        <f>C4</f>
        <v>0</v>
      </c>
      <c r="D11" s="1007" t="str">
        <f>IFERROR(C11*$C$8,"")</f>
        <v/>
      </c>
      <c r="E11" s="1016" t="s">
        <v>1264</v>
      </c>
      <c r="G11" s="992"/>
      <c r="M11" s="158" t="s">
        <v>1280</v>
      </c>
      <c r="N11" s="158" t="s">
        <v>1281</v>
      </c>
    </row>
    <row r="12" spans="1:15" ht="15" thickTop="1" thickBot="1">
      <c r="A12" s="992"/>
      <c r="B12" s="216" t="s">
        <v>1272</v>
      </c>
      <c r="C12" s="1007">
        <f>'Water Balance'!F27</f>
        <v>0</v>
      </c>
      <c r="D12" s="1007" t="str">
        <f>IFERROR(C12*$C$8,"")</f>
        <v/>
      </c>
      <c r="E12" s="1016" t="s">
        <v>1264</v>
      </c>
      <c r="G12" s="992"/>
      <c r="L12" s="216" t="s">
        <v>1272</v>
      </c>
      <c r="M12" s="997">
        <f>IF($M$8=1,C12,D12)</f>
        <v>0</v>
      </c>
      <c r="N12" s="996"/>
    </row>
    <row r="13" spans="1:15" ht="15" thickTop="1" thickBot="1">
      <c r="A13" s="992"/>
      <c r="B13" s="991" t="s">
        <v>1261</v>
      </c>
      <c r="C13" s="995"/>
      <c r="D13" s="1007" t="str">
        <f>IFERROR(C13*$C$8,"")</f>
        <v/>
      </c>
      <c r="E13" s="1017" t="s">
        <v>1271</v>
      </c>
      <c r="G13" s="992"/>
      <c r="L13" s="216" t="s">
        <v>1261</v>
      </c>
      <c r="M13" s="997"/>
      <c r="N13" s="960">
        <f>IF(M8=1,C13,D13)</f>
        <v>0</v>
      </c>
    </row>
    <row r="14" spans="1:15" ht="15" thickTop="1" thickBot="1">
      <c r="A14" s="992"/>
      <c r="B14" s="216" t="s">
        <v>1268</v>
      </c>
      <c r="C14" s="1007">
        <f>C12-C13</f>
        <v>0</v>
      </c>
      <c r="D14" s="1007" t="str">
        <f>IFERROR(C14*$C$8,"")</f>
        <v/>
      </c>
      <c r="E14" s="1017" t="s">
        <v>1279</v>
      </c>
      <c r="G14" s="992"/>
      <c r="L14" s="216" t="s">
        <v>1268</v>
      </c>
      <c r="M14" s="997"/>
      <c r="N14" s="997">
        <f>IF(M8=1,C14,D14)</f>
        <v>0</v>
      </c>
    </row>
    <row r="15" spans="1:15" ht="15" thickTop="1" thickBot="1">
      <c r="A15" s="992"/>
      <c r="B15" s="265" t="str">
        <f>IFERROR(IF(C14&lt;0,"                                                                Note: Leakage Level After Reduction is below zero!",IF(C13&gt;Dashboard!$I$50-Dashboard!$AK$43,"                         Note: Leakage Level After Reduction results in Leakage below the Unavoidable Annual Real Loss volume.","")),"")</f>
        <v/>
      </c>
      <c r="D15" s="216"/>
      <c r="G15" s="992"/>
      <c r="H15" s="158" t="e">
        <f>IF(C14&lt;0,2,IF(C13&gt;Dashboard!$I$50-Dashboard!$AK$43,1,0))</f>
        <v>#VALUE!</v>
      </c>
      <c r="L15" s="216"/>
      <c r="M15" s="1013"/>
      <c r="N15" s="1013"/>
    </row>
    <row r="16" spans="1:15" ht="14.25" customHeight="1" thickTop="1" thickBot="1">
      <c r="A16" s="992"/>
      <c r="B16" s="998" t="s">
        <v>1289</v>
      </c>
      <c r="C16" s="999"/>
      <c r="D16" s="992"/>
      <c r="E16" s="992"/>
      <c r="F16" s="992"/>
      <c r="G16" s="992"/>
    </row>
    <row r="17" spans="1:7" ht="2.25" customHeight="1" thickTop="1" thickBot="1">
      <c r="A17" s="992"/>
      <c r="G17" s="992"/>
    </row>
    <row r="18" spans="1:7" s="192" customFormat="1" ht="16.5" customHeight="1" thickTop="1" thickBot="1">
      <c r="A18" s="992"/>
      <c r="B18" s="1002" t="s">
        <v>1331</v>
      </c>
      <c r="C18" s="192" t="s">
        <v>1327</v>
      </c>
      <c r="D18" s="1003"/>
      <c r="G18" s="992"/>
    </row>
    <row r="19" spans="1:7" ht="15" thickTop="1" thickBot="1">
      <c r="A19" s="992"/>
      <c r="G19" s="992"/>
    </row>
    <row r="20" spans="1:7" ht="15" thickTop="1" thickBot="1">
      <c r="A20" s="992"/>
      <c r="G20" s="992"/>
    </row>
    <row r="21" spans="1:7" ht="15" thickTop="1" thickBot="1">
      <c r="A21" s="992"/>
      <c r="G21" s="992"/>
    </row>
    <row r="22" spans="1:7" ht="15" thickTop="1" thickBot="1">
      <c r="A22" s="992"/>
      <c r="G22" s="992"/>
    </row>
    <row r="23" spans="1:7" ht="15" thickTop="1" thickBot="1">
      <c r="A23" s="992"/>
      <c r="G23" s="992"/>
    </row>
    <row r="24" spans="1:7" ht="15" thickTop="1" thickBot="1">
      <c r="A24" s="992"/>
      <c r="G24" s="992"/>
    </row>
    <row r="25" spans="1:7" ht="15" thickTop="1" thickBot="1">
      <c r="A25" s="992"/>
      <c r="G25" s="992"/>
    </row>
    <row r="26" spans="1:7" ht="15" thickTop="1" thickBot="1">
      <c r="A26" s="992"/>
      <c r="G26" s="992"/>
    </row>
    <row r="27" spans="1:7" ht="15" thickTop="1" thickBot="1">
      <c r="A27" s="992"/>
      <c r="G27" s="992"/>
    </row>
    <row r="28" spans="1:7" ht="15" thickTop="1" thickBot="1">
      <c r="A28" s="992"/>
      <c r="G28" s="992"/>
    </row>
    <row r="29" spans="1:7" ht="15" thickTop="1" thickBot="1">
      <c r="A29" s="992"/>
      <c r="G29" s="992"/>
    </row>
    <row r="30" spans="1:7" ht="15" thickTop="1" thickBot="1">
      <c r="A30" s="992"/>
      <c r="G30" s="992"/>
    </row>
    <row r="31" spans="1:7" ht="15" thickTop="1" thickBot="1">
      <c r="A31" s="992"/>
      <c r="G31" s="992"/>
    </row>
    <row r="32" spans="1:7" ht="15" thickTop="1" thickBot="1">
      <c r="A32" s="992"/>
      <c r="G32" s="992"/>
    </row>
    <row r="33" spans="1:7" ht="15" thickTop="1" thickBot="1">
      <c r="A33" s="992"/>
      <c r="G33" s="992"/>
    </row>
    <row r="34" spans="1:7" ht="15" thickTop="1" thickBot="1">
      <c r="A34" s="992"/>
      <c r="G34" s="992"/>
    </row>
    <row r="35" spans="1:7" ht="15" thickTop="1" thickBot="1">
      <c r="A35" s="992"/>
      <c r="G35" s="992"/>
    </row>
    <row r="36" spans="1:7" ht="8.1" customHeight="1" thickTop="1" thickBot="1">
      <c r="A36" s="992"/>
      <c r="G36" s="992"/>
    </row>
    <row r="37" spans="1:7" ht="6" customHeight="1" thickTop="1">
      <c r="A37" s="992"/>
      <c r="B37" s="992"/>
      <c r="C37" s="992"/>
      <c r="D37" s="992"/>
      <c r="E37" s="992"/>
      <c r="F37" s="992"/>
      <c r="G37" s="992"/>
    </row>
  </sheetData>
  <sheetProtection algorithmName="SHA-512" hashValue="Mq7r7rrDt3JC3g9C/dAt+1BS2bLvYym0SYjWS+h52v5Rsn9QXgMo/0BoutaoQ/t06/F1H77gAQPYhtvotuoRhQ==" saltValue="dMXA/ueyvUUvmiwxBSJ0GA==" spinCount="100000" sheet="1" objects="1" scenarios="1"/>
  <mergeCells count="1">
    <mergeCell ref="A1:G1"/>
  </mergeCells>
  <conditionalFormatting sqref="B15">
    <cfRule type="expression" dxfId="22" priority="1">
      <formula>$H$15=2</formula>
    </cfRule>
    <cfRule type="expression" dxfId="21" priority="2">
      <formula>$H$15=1</formula>
    </cfRule>
  </conditionalFormatting>
  <dataValidations count="1">
    <dataValidation type="list" allowBlank="1" showInputMessage="1" showErrorMessage="1" sqref="B18" xr:uid="{A4F4420A-ECD3-4234-9D03-06CCDDDC9254}">
      <formula1>"Display Volume, Display Carbon"</formula1>
    </dataValidation>
  </dataValidations>
  <hyperlinks>
    <hyperlink ref="B5" location="Definitions!C34:L35" display="Reference Carbon Intensity" xr:uid="{1568CCF6-4123-43F7-9CF6-1CCA239A6240}"/>
    <hyperlink ref="B8" location="Definitions!C64:L64" display="Utility Carbon Intensity" xr:uid="{B40CB687-6456-44B4-8977-4DBC81672F9C}"/>
    <hyperlink ref="B7" location="Definitions!C66:L66" display="Utility Energy Intensity" xr:uid="{F1E56425-437D-4508-A3C8-D525AFC7FC75}"/>
    <hyperlink ref="B13" location="Definitions!C43:L43" display="Target Leakage Reduction" xr:uid="{4277EED1-416D-4E36-A57E-E384C20F72E1}"/>
    <hyperlink ref="B6" location="Definitions!C68:L68" display="Utility Energy Usage" xr:uid="{1A876288-428D-458A-93BD-CA017A3E1F6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decimal" allowBlank="1" showInputMessage="1" showErrorMessage="1" xr:uid="{59A42CE6-FC32-4BFC-90E1-3E6F78BCDC97}">
          <x14:formula1>
            <xm:f>0</xm:f>
          </x14:formula1>
          <x14:formula2>
            <xm:f>Dashboard!W51-Dashboard!AY44</xm:f>
          </x14:formula2>
          <xm:sqref>M14:N15</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44B3DD89-E182-4879-BD4E-A86536A24076}">
          <x14:formula1>
            <xm:f>0</xm:f>
          </x14:formula1>
          <x14:formula2>
            <xm:f>Dashboard!X50-Dashboard!AZ43</xm:f>
          </x14:formula2>
          <xm:sqref>N13</xm:sqref>
        </x14:dataValidation>
        <x14:dataValidation type="decimal" allowBlank="1" showInputMessage="1" showErrorMessage="1" xr:uid="{773FD4C6-68B8-4214-A37D-724AD6B82CF7}">
          <x14:formula1>
            <xm:f>0</xm:f>
          </x14:formula1>
          <x14:formula2>
            <xm:f>Dashboard!I51-Dashboard!AK44</xm:f>
          </x14:formula2>
          <xm:sqref>C14</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3A839DE6-5677-48AF-8F64-9243A9BA806F}">
          <x14:formula1>
            <xm:f>0</xm:f>
          </x14:formula1>
          <x14:formula2>
            <xm:f>Dashboard!I50-Dashboard!AK43</xm:f>
          </x14:formula2>
          <xm:sqref>C13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10AC-D656-4D09-AE9C-F6E0513117C3}">
  <sheetPr codeName="Sheet19">
    <tabColor rgb="FFC5D9F1"/>
    <pageSetUpPr fitToPage="1"/>
  </sheetPr>
  <dimension ref="A1:R1006"/>
  <sheetViews>
    <sheetView showGridLines="0" showRowColHeaders="0" zoomScale="110" zoomScaleNormal="110" workbookViewId="0">
      <selection activeCell="C7" sqref="C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8" width="23.44140625" style="1" customWidth="1"/>
    <col min="9" max="9" width="21.109375" style="1" customWidth="1"/>
    <col min="10" max="10" width="1.109375" style="1" customWidth="1"/>
    <col min="11" max="11" width="8.88671875" style="1" customWidth="1"/>
    <col min="12" max="12" width="28.5546875" style="1" customWidth="1"/>
    <col min="13" max="17" width="15.88671875" style="120" customWidth="1"/>
    <col min="18" max="18" width="15.88671875" style="1" customWidth="1"/>
    <col min="19" max="16384" width="8.88671875" style="1" hidden="1"/>
  </cols>
  <sheetData>
    <row r="1" spans="2:17" ht="3.75" customHeight="1"/>
    <row r="2" spans="2:17" ht="24.75" hidden="1" customHeight="1" thickTop="1">
      <c r="B2" s="1217" t="s">
        <v>1084</v>
      </c>
      <c r="C2" s="1218"/>
      <c r="D2" s="1218"/>
      <c r="E2" s="1218"/>
      <c r="F2" s="1218"/>
      <c r="G2" s="1218"/>
      <c r="H2" s="1218"/>
      <c r="I2" s="1219"/>
      <c r="J2" s="5"/>
    </row>
    <row r="3" spans="2:17" ht="18" customHeight="1">
      <c r="B3" s="1220"/>
      <c r="C3" s="1221"/>
      <c r="D3" s="1221"/>
      <c r="E3" s="1221"/>
      <c r="F3" s="1221"/>
      <c r="G3" s="1221"/>
      <c r="H3" s="1221"/>
      <c r="I3" s="1222"/>
      <c r="J3" s="5"/>
    </row>
    <row r="4" spans="2:17" ht="4.3499999999999996" customHeight="1">
      <c r="B4" s="465"/>
      <c r="C4" s="466"/>
      <c r="D4" s="466"/>
      <c r="E4" s="466"/>
      <c r="F4" s="466"/>
      <c r="G4" s="466"/>
      <c r="H4" s="467"/>
      <c r="I4" s="468"/>
      <c r="J4" s="5"/>
    </row>
    <row r="5" spans="2:17" ht="17.100000000000001" customHeight="1">
      <c r="B5" s="895" t="s">
        <v>1317</v>
      </c>
      <c r="C5" s="466"/>
      <c r="D5" s="466"/>
      <c r="E5" s="777" t="s">
        <v>62</v>
      </c>
      <c r="F5" s="1229" t="str">
        <f>IF(ISBLANK('Start Page'!AB9),"&lt;&lt; Please enter system details on the Start Page &gt;&gt;",'Start Page'!AB9&amp;IF(ISBLANK('Start Page'!AM28),"","  ("&amp;'Start Page'!AM28&amp;")"))</f>
        <v>&lt;&lt; Please enter system details on the Start Page &gt;&gt;</v>
      </c>
      <c r="G5" s="1240"/>
      <c r="H5" s="1230"/>
      <c r="I5" s="468"/>
      <c r="J5" s="5"/>
    </row>
    <row r="6" spans="2:17" ht="18" customHeight="1">
      <c r="B6" s="962" t="s">
        <v>1285</v>
      </c>
      <c r="C6" s="967" t="str">
        <f>Dashboard!I48</f>
        <v/>
      </c>
      <c r="D6" s="961"/>
      <c r="E6" s="777" t="s">
        <v>708</v>
      </c>
      <c r="F6" s="778" t="str">
        <f>IF(ISBLANK('Start Page'!AB18),"",'Start Page'!AB18)</f>
        <v/>
      </c>
      <c r="G6" s="778"/>
      <c r="H6" s="779" t="str">
        <f>IF(ISBLANK('Start Page'!AB20),"",TEXT('Start Page'!AB20,"mmm dd yyyy")&amp;" - "&amp;TEXT('Start Page'!AB21,"mmm dd yyyy"))</f>
        <v/>
      </c>
      <c r="I6" s="469"/>
      <c r="J6" s="5"/>
    </row>
    <row r="7" spans="2:17" ht="18" customHeight="1">
      <c r="B7" s="962" t="s">
        <v>1286</v>
      </c>
      <c r="C7" s="967" t="s">
        <v>1292</v>
      </c>
      <c r="D7" s="961"/>
      <c r="E7" s="777" t="s">
        <v>675</v>
      </c>
      <c r="F7" s="778" t="str">
        <f>Dashboard!BR4</f>
        <v>N/A*</v>
      </c>
      <c r="G7" s="944"/>
      <c r="H7" s="780" t="str">
        <f>IF(F7="N/A*","* Confirm Units and Data Grading are Complete","")</f>
        <v>* Confirm Units and Data Grading are Complete</v>
      </c>
      <c r="I7" s="468"/>
      <c r="J7" s="5"/>
    </row>
    <row r="8" spans="2:17" ht="6.75" customHeight="1" thickBot="1">
      <c r="B8" s="470"/>
      <c r="C8" s="471"/>
      <c r="D8" s="471"/>
      <c r="E8" s="471"/>
      <c r="F8" s="471"/>
      <c r="G8" s="471"/>
      <c r="H8" s="472"/>
      <c r="I8" s="473"/>
      <c r="J8" s="5"/>
    </row>
    <row r="9" spans="2:17" ht="52.95" customHeight="1" thickTop="1">
      <c r="B9" s="954"/>
      <c r="C9" s="955"/>
      <c r="D9" s="349" t="s">
        <v>1079</v>
      </c>
      <c r="E9" s="1231" t="s">
        <v>71</v>
      </c>
      <c r="F9" s="1232"/>
      <c r="G9" s="1232"/>
      <c r="H9" s="1233"/>
      <c r="I9" s="350" t="s">
        <v>670</v>
      </c>
      <c r="J9" s="5"/>
    </row>
    <row r="10" spans="2:17" ht="16.5" customHeight="1" thickBot="1">
      <c r="B10" s="954"/>
      <c r="C10" s="158"/>
      <c r="D10" s="969" t="str">
        <f>IF(Worksheet!AG17=0,"",TEXT(Worksheet!AG17,"#,###")&amp;" "&amp;$C$6)</f>
        <v/>
      </c>
      <c r="E10" s="1241" t="str">
        <f>IF(Worksheet!AG17=0,"",TEXT('Water Balance'!D10*'Carbon Calculations'!$C$8,"#,###")&amp;" mt")</f>
        <v/>
      </c>
      <c r="F10" s="1242"/>
      <c r="G10" s="1242"/>
      <c r="H10" s="1243"/>
      <c r="I10" s="976" t="str">
        <f>D10</f>
        <v/>
      </c>
      <c r="J10" s="5"/>
    </row>
    <row r="11" spans="2:17" ht="30" customHeight="1">
      <c r="B11" s="353"/>
      <c r="C11" s="354"/>
      <c r="D11" s="355"/>
      <c r="E11" s="356"/>
      <c r="F11" s="1225" t="s">
        <v>3</v>
      </c>
      <c r="G11" s="1245" t="s">
        <v>1080</v>
      </c>
      <c r="H11" s="1246"/>
      <c r="I11" s="358" t="s">
        <v>4</v>
      </c>
      <c r="J11" s="5"/>
      <c r="L11" s="886"/>
      <c r="M11" s="121"/>
      <c r="N11" s="121"/>
      <c r="O11" s="121"/>
      <c r="P11" s="121"/>
      <c r="Q11" s="121"/>
    </row>
    <row r="12" spans="2:17" ht="15.75" customHeight="1">
      <c r="B12" s="1216" t="s">
        <v>681</v>
      </c>
      <c r="C12" s="359"/>
      <c r="D12" s="360"/>
      <c r="E12" s="1225" t="s">
        <v>2</v>
      </c>
      <c r="F12" s="1244"/>
      <c r="G12" s="946" t="str">
        <f>IFERROR(TEXT('Water Balance'!G12*'Carbon Calculations'!$C$8,"#,###")&amp;" mt","")</f>
        <v/>
      </c>
      <c r="H12" s="973" t="str">
        <f>TEXT(Worksheet!H23,"#,###")&amp;" "&amp;$C$6</f>
        <v xml:space="preserve"> </v>
      </c>
      <c r="I12" s="956"/>
      <c r="J12" s="5"/>
    </row>
    <row r="13" spans="2:17" ht="22.5" customHeight="1">
      <c r="B13" s="1216"/>
      <c r="C13" s="363"/>
      <c r="D13" s="360"/>
      <c r="E13" s="1225"/>
      <c r="F13" s="972" t="str">
        <f>TEXT((Worksheet!H23+Worksheet!H24),"#,###")&amp;" "&amp;$C$6</f>
        <v xml:space="preserve"> </v>
      </c>
      <c r="G13" s="1244" t="s">
        <v>1081</v>
      </c>
      <c r="H13" s="1247"/>
      <c r="I13" s="975" t="str">
        <f>TEXT('Water Balance'!H13,"#,###")&amp;" "&amp;$C$6</f>
        <v xml:space="preserve"> </v>
      </c>
      <c r="J13" s="5"/>
      <c r="L13" s="158"/>
      <c r="M13" s="121"/>
      <c r="N13" s="121"/>
      <c r="O13" s="121"/>
      <c r="P13" s="121"/>
      <c r="Q13" s="121"/>
    </row>
    <row r="14" spans="2:17" ht="15.75" customHeight="1">
      <c r="B14" s="1227" t="s">
        <v>756</v>
      </c>
      <c r="C14" s="368"/>
      <c r="D14" s="360"/>
      <c r="E14" s="369"/>
      <c r="F14" s="978" t="str">
        <f>IFERROR(TEXT('Water Balance'!F13*'Carbon Calculations'!$C$8,"#,###")&amp;" mt","")</f>
        <v/>
      </c>
      <c r="G14" s="946" t="str">
        <f>IFERROR(IF(Worksheet!H24=0,"",TEXT('Water Balance'!G14*'Carbon Calculations'!$C$8,"#,###")&amp;" mt"),"")</f>
        <v/>
      </c>
      <c r="H14" s="973" t="str">
        <f>IF(Worksheet!H24=0,"",TEXT(Worksheet!H24,"#,###")&amp;" "&amp;$C$6)</f>
        <v/>
      </c>
      <c r="I14" s="982" t="str">
        <f>IFERROR(TEXT('Water Balance'!H13*'Carbon Calculations'!$C$8,"#,###")&amp;" mt","")</f>
        <v/>
      </c>
      <c r="J14" s="5"/>
    </row>
    <row r="15" spans="2:17" ht="15.75" customHeight="1">
      <c r="B15" s="1228"/>
      <c r="C15" s="368"/>
      <c r="D15" s="360"/>
      <c r="E15" s="970" t="str">
        <f>TEXT(Worksheet!H30,"#,###")&amp;" "&amp;$C$6</f>
        <v xml:space="preserve"> </v>
      </c>
      <c r="F15" s="1248" t="s">
        <v>5</v>
      </c>
      <c r="G15" s="1249" t="s">
        <v>1082</v>
      </c>
      <c r="H15" s="1250"/>
      <c r="I15" s="1223" t="s">
        <v>6</v>
      </c>
      <c r="J15" s="5"/>
      <c r="L15" s="158"/>
      <c r="M15" s="121"/>
      <c r="N15" s="121"/>
      <c r="O15" s="121"/>
      <c r="P15" s="121"/>
      <c r="Q15" s="121"/>
    </row>
    <row r="16" spans="2:17" ht="15.75" customHeight="1">
      <c r="B16" s="373"/>
      <c r="C16" s="359"/>
      <c r="D16" s="360"/>
      <c r="E16" s="978" t="str">
        <f>IFERROR(TEXT('Water Balance'!E15*'Carbon Calculations'!$C$8,"#,###")&amp;" mt","")</f>
        <v/>
      </c>
      <c r="F16" s="1225"/>
      <c r="G16" s="946" t="str">
        <f>IFERROR(IF(Worksheet!H25=0,"",TEXT('Water Balance'!G16*'Carbon Calculations'!$C$8,"#,###")&amp;" mt"),"")</f>
        <v/>
      </c>
      <c r="H16" s="973" t="str">
        <f>IF(Worksheet!H25=0,"",TEXT(Worksheet!H25,"#,###")&amp;" "&amp;$C$6)</f>
        <v/>
      </c>
      <c r="I16" s="1224"/>
      <c r="J16" s="5"/>
      <c r="L16" s="158"/>
      <c r="M16" s="121"/>
    </row>
    <row r="17" spans="2:17" ht="22.5" customHeight="1">
      <c r="B17" s="968" t="str">
        <f>IF(Worksheet!AG15=0,"",TEXT(Worksheet!AG15,"#,###")&amp;" "&amp;C6)</f>
        <v/>
      </c>
      <c r="C17" s="376"/>
      <c r="D17" s="377"/>
      <c r="E17" s="250"/>
      <c r="F17" s="972" t="str">
        <f>TEXT((Worksheet!H25+Worksheet!H26),"#,###")&amp;" "&amp;$C$6</f>
        <v xml:space="preserve"> </v>
      </c>
      <c r="G17" s="1244" t="s">
        <v>1083</v>
      </c>
      <c r="H17" s="1247"/>
      <c r="I17" s="957"/>
      <c r="J17" s="5"/>
      <c r="L17" s="158"/>
      <c r="M17" s="121"/>
      <c r="N17" s="121"/>
      <c r="O17" s="121"/>
      <c r="P17" s="121"/>
      <c r="Q17" s="121"/>
    </row>
    <row r="18" spans="2:17" ht="15.75" customHeight="1">
      <c r="B18" s="963"/>
      <c r="C18" s="1237" t="s">
        <v>757</v>
      </c>
      <c r="D18" s="360"/>
      <c r="E18" s="379"/>
      <c r="F18" s="978" t="str">
        <f>IFERROR(TEXT('Water Balance'!F17*'Carbon Calculations'!$C$8,"#,###")&amp;" mt","")</f>
        <v/>
      </c>
      <c r="G18" s="946" t="str">
        <f>IFERROR(TEXT('Water Balance'!G18*'Carbon Calculations'!$C$8,"#,###")&amp;" mt","")</f>
        <v/>
      </c>
      <c r="H18" s="973" t="str">
        <f>TEXT(Worksheet!H26,"#,###")&amp;" "&amp;$C$6</f>
        <v xml:space="preserve"> </v>
      </c>
      <c r="I18" s="957"/>
      <c r="J18" s="5"/>
      <c r="L18" s="158"/>
      <c r="M18" s="121"/>
    </row>
    <row r="19" spans="2:17" ht="22.5" customHeight="1">
      <c r="B19" s="373"/>
      <c r="C19" s="1237"/>
      <c r="D19" s="381" t="s">
        <v>114</v>
      </c>
      <c r="E19" s="356"/>
      <c r="F19" s="958"/>
      <c r="G19" s="1238" t="s">
        <v>689</v>
      </c>
      <c r="H19" s="1239"/>
      <c r="I19" s="975" t="str">
        <f>TEXT('Water Balance'!H19,"#,###")&amp;" "&amp;$C$6</f>
        <v xml:space="preserve"> </v>
      </c>
      <c r="J19" s="5"/>
      <c r="L19" s="158"/>
      <c r="M19" s="121"/>
      <c r="N19" s="121"/>
      <c r="O19" s="121"/>
      <c r="P19" s="121"/>
      <c r="Q19" s="121"/>
    </row>
    <row r="20" spans="2:17" ht="15.75" customHeight="1">
      <c r="B20" s="373"/>
      <c r="C20" s="965" t="str">
        <f>TEXT(('Water Balance'!B17+'Water Balance'!B27),"#,###")&amp;" "&amp;C6</f>
        <v xml:space="preserve"> </v>
      </c>
      <c r="D20" s="360"/>
      <c r="E20" s="250"/>
      <c r="F20" s="385" t="s">
        <v>50</v>
      </c>
      <c r="G20" s="946" t="str">
        <f>IFERROR(TEXT('Water Balance'!G20*'Carbon Calculations'!$C$8,"#,###")&amp;" mt","")</f>
        <v/>
      </c>
      <c r="H20" s="973" t="str">
        <f>TEXT(Worksheet!H39,"#,###")&amp;" "&amp;$C$6</f>
        <v xml:space="preserve"> </v>
      </c>
      <c r="I20" s="945" t="str">
        <f>IFERROR(TEXT('Water Balance'!H19*'Carbon Calculations'!$C$8,"#,###")&amp;" mt","")</f>
        <v/>
      </c>
      <c r="J20" s="5"/>
      <c r="L20" s="158"/>
      <c r="M20" s="121"/>
    </row>
    <row r="21" spans="2:17" ht="14.25" customHeight="1">
      <c r="B21" s="977"/>
      <c r="C21" s="978" t="str">
        <f>IFERROR(TEXT('Water Balance'!C20*'Carbon Calculations'!$C$8,"#,###")&amp;" mt","")</f>
        <v/>
      </c>
      <c r="D21" s="965" t="str">
        <f>TEXT(ROUND(Worksheet!H19,0),"#,###")&amp;" "&amp;$C$6</f>
        <v xml:space="preserve"> </v>
      </c>
      <c r="E21" s="386"/>
      <c r="F21" s="972" t="str">
        <f>TEXT(Worksheet!H46,"#,###")&amp;" "&amp;$C$6</f>
        <v xml:space="preserve"> </v>
      </c>
      <c r="G21" s="1244" t="s">
        <v>688</v>
      </c>
      <c r="H21" s="1247"/>
      <c r="I21" s="957"/>
      <c r="J21" s="5"/>
      <c r="L21" s="158"/>
      <c r="M21" s="121"/>
      <c r="N21" s="121"/>
      <c r="O21" s="121"/>
      <c r="P21" s="121"/>
      <c r="Q21" s="121"/>
    </row>
    <row r="22" spans="2:17" ht="15.75" customHeight="1">
      <c r="B22" s="373"/>
      <c r="C22" s="979"/>
      <c r="D22" s="980" t="str">
        <f>IFERROR(TEXT('Water Balance'!D21*'Carbon Calculations'!$C$8,"#,###")&amp;" mt","")</f>
        <v/>
      </c>
      <c r="E22" s="250"/>
      <c r="F22" s="978" t="str">
        <f>IFERROR(TEXT('Water Balance'!F21*'Carbon Calculations'!$C$8,"#,###")&amp;" mt","")</f>
        <v/>
      </c>
      <c r="G22" s="946" t="str">
        <f>IFERROR(TEXT('Water Balance'!G22*'Carbon Calculations'!$C$8,"#,###")&amp;" mt","")</f>
        <v/>
      </c>
      <c r="H22" s="973" t="str">
        <f>TEXT(Worksheet!H41,"#,###")&amp;" "&amp;$C$6</f>
        <v xml:space="preserve"> </v>
      </c>
      <c r="I22" s="957"/>
      <c r="J22" s="5"/>
      <c r="L22" s="158"/>
      <c r="M22" s="121"/>
    </row>
    <row r="23" spans="2:17" ht="23.25" customHeight="1">
      <c r="B23" s="373"/>
      <c r="C23" s="359"/>
      <c r="D23" s="360"/>
      <c r="E23" s="250"/>
      <c r="F23" s="386"/>
      <c r="G23" s="1244" t="s">
        <v>671</v>
      </c>
      <c r="H23" s="1247"/>
      <c r="I23" s="957"/>
      <c r="J23" s="5"/>
      <c r="L23" s="158"/>
      <c r="M23" s="121"/>
      <c r="N23" s="121"/>
      <c r="O23" s="121"/>
      <c r="P23" s="121"/>
      <c r="Q23" s="121"/>
    </row>
    <row r="24" spans="2:17" ht="15.75" customHeight="1">
      <c r="B24" s="373"/>
      <c r="C24" s="359"/>
      <c r="D24" s="360"/>
      <c r="E24" s="388" t="s">
        <v>49</v>
      </c>
      <c r="F24" s="370"/>
      <c r="G24" s="946" t="str">
        <f>IFERROR(TEXT('Water Balance'!G24*'Carbon Calculations'!$C$8,"#,###")&amp;" mt","")</f>
        <v/>
      </c>
      <c r="H24" s="973" t="str">
        <f>TEXT(Worksheet!H43,"#,###")&amp;" "&amp;$C$6</f>
        <v xml:space="preserve"> </v>
      </c>
      <c r="I24" s="957"/>
      <c r="J24" s="5"/>
    </row>
    <row r="25" spans="2:17" ht="19.2" customHeight="1">
      <c r="B25" s="1215" t="s">
        <v>1078</v>
      </c>
      <c r="C25" s="363"/>
      <c r="D25" s="360"/>
      <c r="E25" s="971" t="str">
        <f>IFERROR(TEXT(Worksheet!H53,"#,###")&amp;" "&amp;$C$6,"")</f>
        <v xml:space="preserve"> </v>
      </c>
      <c r="F25" s="386"/>
      <c r="G25" s="1251" t="s">
        <v>1267</v>
      </c>
      <c r="H25" s="1252"/>
      <c r="I25" s="957"/>
      <c r="J25" s="5"/>
      <c r="L25" s="158"/>
      <c r="M25" s="121"/>
      <c r="N25" s="121"/>
      <c r="O25" s="121"/>
      <c r="P25" s="121"/>
      <c r="Q25" s="121"/>
    </row>
    <row r="26" spans="2:17" ht="12.6" customHeight="1">
      <c r="B26" s="1216"/>
      <c r="C26" s="359"/>
      <c r="D26" s="981"/>
      <c r="E26" s="978" t="str">
        <f>IFERROR(TEXT('Water Balance'!E25*'Carbon Calculations'!$C$8,"#,###")&amp;" mt","")</f>
        <v/>
      </c>
      <c r="F26" s="385" t="s">
        <v>51</v>
      </c>
      <c r="G26" s="1255" t="str">
        <f>IF('Carbon Calculations'!D13="","",TEXT('Carbon Calculations'!$D$13,"#,###")&amp;" mt")</f>
        <v/>
      </c>
      <c r="H26" s="1256" t="str">
        <f>TEXT('Carbon Calculations'!C13,"#,###")&amp;" "&amp;$C$6</f>
        <v xml:space="preserve"> </v>
      </c>
      <c r="I26" s="957"/>
      <c r="J26" s="5"/>
    </row>
    <row r="27" spans="2:17" ht="19.2" customHeight="1">
      <c r="B27" s="1216"/>
      <c r="C27" s="376"/>
      <c r="D27" s="360"/>
      <c r="E27" s="250"/>
      <c r="F27" s="972" t="str">
        <f>TEXT(Worksheet!H51,"#,###")&amp;" "&amp;$C$6</f>
        <v xml:space="preserve"> </v>
      </c>
      <c r="G27" s="1255"/>
      <c r="H27" s="1256"/>
      <c r="I27" s="957"/>
      <c r="J27" s="5"/>
      <c r="M27" s="121"/>
      <c r="N27" s="121"/>
      <c r="O27" s="121"/>
      <c r="P27" s="121"/>
      <c r="Q27" s="121"/>
    </row>
    <row r="28" spans="2:17" ht="16.5" customHeight="1">
      <c r="B28" s="968" t="str">
        <f>IF(Worksheet!AG16=0,"",TEXT(Worksheet!AG16,"#,###")&amp;" "&amp;C6)</f>
        <v/>
      </c>
      <c r="C28" s="359"/>
      <c r="D28" s="360"/>
      <c r="E28" s="250"/>
      <c r="F28" s="978" t="str">
        <f>IFERROR(TEXT('Water Balance'!F27*'Carbon Calculations'!$C$8,"#,###")&amp;" mt","")</f>
        <v/>
      </c>
      <c r="G28" s="1251" t="s">
        <v>1268</v>
      </c>
      <c r="H28" s="1252"/>
      <c r="I28" s="957"/>
      <c r="J28" s="5"/>
    </row>
    <row r="29" spans="2:17" ht="12.75" customHeight="1">
      <c r="B29" s="964"/>
      <c r="C29" s="359"/>
      <c r="D29" s="360"/>
      <c r="E29" s="250"/>
      <c r="F29" s="386"/>
      <c r="G29" s="951" t="str">
        <f>IFERROR(TEXT('Water Balance'!G29*'Carbon Calculations'!$C$8,"#,###")&amp;" mt","")</f>
        <v/>
      </c>
      <c r="H29" s="974" t="str">
        <f>TEXT('Water Balance'!G29,"#,###")&amp;" "&amp;$C$6</f>
        <v xml:space="preserve"> </v>
      </c>
      <c r="I29" s="957"/>
      <c r="J29" s="5"/>
      <c r="M29" s="121"/>
      <c r="N29" s="121"/>
      <c r="O29" s="121"/>
      <c r="P29" s="121"/>
      <c r="Q29" s="121"/>
    </row>
    <row r="30" spans="2:17" ht="14.4" thickBot="1">
      <c r="B30" s="390"/>
      <c r="C30" s="391"/>
      <c r="D30" s="392"/>
      <c r="E30" s="393"/>
      <c r="F30" s="394"/>
      <c r="G30" s="1253"/>
      <c r="H30" s="1254"/>
      <c r="I30" s="959"/>
      <c r="J30" s="5"/>
    </row>
    <row r="31" spans="2:17" ht="14.4" thickTop="1">
      <c r="B31" s="6"/>
      <c r="C31" s="6"/>
      <c r="D31" s="6"/>
      <c r="E31" s="6"/>
      <c r="F31" s="5"/>
      <c r="G31" s="5"/>
      <c r="H31" s="5"/>
      <c r="I31" s="5"/>
      <c r="J31" s="5"/>
    </row>
    <row r="32" spans="2:17">
      <c r="B32" s="5"/>
      <c r="C32" s="5"/>
      <c r="D32" s="5"/>
      <c r="E32" s="5"/>
      <c r="F32" s="5"/>
      <c r="G32" s="5"/>
      <c r="H32" s="5"/>
      <c r="I32" s="5"/>
      <c r="J32" s="5"/>
    </row>
    <row r="33" spans="2:10">
      <c r="B33" s="5"/>
      <c r="C33" s="5"/>
      <c r="D33" s="5"/>
      <c r="E33" s="5"/>
      <c r="F33" s="5"/>
      <c r="I33" s="5"/>
      <c r="J33" s="5"/>
    </row>
    <row r="34" spans="2:10">
      <c r="B34" s="5"/>
      <c r="C34" s="5"/>
      <c r="D34" s="5"/>
      <c r="E34" s="5"/>
      <c r="F34" s="5"/>
      <c r="I34" s="5"/>
      <c r="J34" s="5"/>
    </row>
    <row r="35" spans="2:10">
      <c r="B35" s="5"/>
      <c r="C35" s="5"/>
      <c r="D35" s="5"/>
      <c r="E35" s="5"/>
      <c r="F35" s="5"/>
      <c r="G35" s="5"/>
      <c r="H35" s="5"/>
      <c r="I35" s="5"/>
      <c r="J35" s="5"/>
    </row>
    <row r="36" spans="2:10">
      <c r="B36" s="5"/>
      <c r="C36" s="5"/>
      <c r="D36" s="5"/>
      <c r="E36" s="5"/>
      <c r="F36" s="5"/>
      <c r="G36" s="5"/>
      <c r="H36" s="5"/>
      <c r="I36" s="5"/>
      <c r="J36" s="5"/>
    </row>
    <row r="37" spans="2:10">
      <c r="B37" s="5"/>
      <c r="C37" s="5"/>
      <c r="D37" s="5"/>
      <c r="E37" s="5"/>
      <c r="F37" s="5"/>
      <c r="G37" s="5"/>
      <c r="H37" s="5"/>
      <c r="I37" s="5"/>
      <c r="J37" s="5"/>
    </row>
    <row r="38" spans="2:10">
      <c r="B38" s="5"/>
      <c r="C38" s="5"/>
      <c r="D38" s="5"/>
      <c r="E38" s="5"/>
      <c r="F38" s="5"/>
      <c r="G38" s="5"/>
      <c r="H38" s="5"/>
      <c r="I38" s="5"/>
      <c r="J38" s="5"/>
    </row>
    <row r="39" spans="2:10">
      <c r="B39" s="5"/>
      <c r="C39" s="5"/>
      <c r="D39" s="5"/>
      <c r="E39" s="5"/>
      <c r="F39" s="5"/>
      <c r="G39" s="5"/>
      <c r="H39" s="5"/>
      <c r="I39" s="5"/>
      <c r="J39" s="5"/>
    </row>
    <row r="40" spans="2:10">
      <c r="B40" s="5"/>
      <c r="C40" s="5"/>
      <c r="D40" s="5"/>
      <c r="E40" s="5"/>
      <c r="F40" s="5"/>
      <c r="G40" s="5"/>
      <c r="H40" s="5"/>
      <c r="I40" s="5"/>
      <c r="J40" s="5"/>
    </row>
    <row r="41" spans="2:10">
      <c r="B41" s="5"/>
      <c r="C41" s="5"/>
      <c r="D41" s="5"/>
      <c r="E41" s="5"/>
      <c r="F41" s="5"/>
      <c r="G41" s="5"/>
      <c r="H41" s="5"/>
      <c r="I41" s="5"/>
      <c r="J41" s="5"/>
    </row>
    <row r="42" spans="2:10">
      <c r="B42" s="5"/>
      <c r="C42" s="5"/>
      <c r="D42" s="5"/>
      <c r="E42" s="5"/>
      <c r="F42" s="5"/>
      <c r="G42" s="5"/>
      <c r="H42" s="5"/>
      <c r="I42" s="5"/>
      <c r="J42" s="5"/>
    </row>
    <row r="43" spans="2:10">
      <c r="B43" s="5"/>
      <c r="C43" s="5"/>
      <c r="D43" s="5"/>
      <c r="E43" s="5"/>
      <c r="F43" s="5"/>
      <c r="G43" s="5"/>
      <c r="H43" s="5"/>
      <c r="I43" s="5"/>
      <c r="J43" s="5"/>
    </row>
    <row r="44" spans="2:10">
      <c r="B44" s="5"/>
      <c r="C44" s="5"/>
      <c r="D44" s="5"/>
      <c r="E44" s="5"/>
      <c r="F44" s="5"/>
      <c r="G44" s="5"/>
      <c r="H44" s="5"/>
      <c r="I44" s="5"/>
      <c r="J44" s="5"/>
    </row>
    <row r="45" spans="2:10">
      <c r="B45" s="5"/>
      <c r="C45" s="5"/>
      <c r="D45" s="5"/>
      <c r="E45" s="5"/>
      <c r="F45" s="5"/>
      <c r="G45" s="5"/>
      <c r="H45" s="5"/>
      <c r="I45" s="5"/>
      <c r="J45" s="5"/>
    </row>
    <row r="46" spans="2:10">
      <c r="B46" s="5"/>
      <c r="C46" s="5"/>
      <c r="D46" s="5"/>
      <c r="E46" s="5"/>
      <c r="F46" s="5"/>
      <c r="G46" s="5"/>
      <c r="H46" s="5"/>
      <c r="I46" s="5"/>
      <c r="J46" s="5"/>
    </row>
    <row r="47" spans="2:10" ht="12.75" customHeight="1">
      <c r="B47" s="5"/>
      <c r="C47" s="5"/>
      <c r="D47" s="5"/>
      <c r="E47" s="5"/>
      <c r="F47" s="5"/>
      <c r="G47" s="5"/>
      <c r="H47" s="5"/>
      <c r="I47" s="5"/>
      <c r="J47" s="5"/>
    </row>
    <row r="48" spans="2:10">
      <c r="B48" s="5"/>
      <c r="C48" s="5"/>
      <c r="D48" s="5"/>
      <c r="E48" s="5"/>
      <c r="F48" s="5"/>
      <c r="G48" s="5"/>
      <c r="H48" s="5"/>
      <c r="I48" s="5"/>
      <c r="J48" s="5"/>
    </row>
    <row r="49" spans="2:10">
      <c r="B49" s="5"/>
      <c r="C49" s="5"/>
      <c r="D49" s="5"/>
      <c r="E49" s="5"/>
      <c r="F49" s="5"/>
      <c r="G49" s="5"/>
      <c r="H49" s="5"/>
      <c r="I49" s="5"/>
      <c r="J49" s="5"/>
    </row>
    <row r="50" spans="2:10">
      <c r="B50" s="5"/>
      <c r="C50" s="5"/>
      <c r="D50" s="5"/>
      <c r="E50" s="5"/>
      <c r="F50" s="5"/>
      <c r="G50" s="5"/>
      <c r="H50" s="5"/>
      <c r="I50" s="5"/>
      <c r="J50" s="5"/>
    </row>
    <row r="51" spans="2:10">
      <c r="B51" s="5"/>
      <c r="C51" s="5"/>
      <c r="D51" s="5"/>
      <c r="E51" s="5"/>
      <c r="F51" s="5"/>
      <c r="G51" s="5"/>
      <c r="H51" s="5"/>
      <c r="I51" s="5"/>
      <c r="J51" s="5"/>
    </row>
    <row r="52" spans="2:10">
      <c r="B52" s="5"/>
      <c r="C52" s="5"/>
      <c r="D52" s="5"/>
      <c r="E52" s="5"/>
      <c r="F52" s="5"/>
      <c r="G52" s="5"/>
      <c r="H52" s="5"/>
      <c r="I52" s="5"/>
      <c r="J52" s="5"/>
    </row>
    <row r="53" spans="2:10">
      <c r="B53" s="5"/>
      <c r="C53" s="5"/>
      <c r="D53" s="5"/>
      <c r="E53" s="5"/>
      <c r="F53" s="5"/>
      <c r="G53" s="5"/>
      <c r="H53" s="5"/>
      <c r="I53" s="5"/>
      <c r="J53" s="5"/>
    </row>
    <row r="54" spans="2:10">
      <c r="B54" s="5"/>
      <c r="C54" s="5"/>
      <c r="D54" s="5"/>
      <c r="E54" s="5"/>
      <c r="F54" s="5"/>
      <c r="G54" s="5"/>
      <c r="H54" s="5"/>
      <c r="I54" s="5"/>
      <c r="J54" s="5"/>
    </row>
    <row r="55" spans="2:10">
      <c r="B55" s="5"/>
      <c r="C55" s="5"/>
      <c r="D55" s="5"/>
      <c r="E55" s="5"/>
      <c r="F55" s="5"/>
      <c r="G55" s="5"/>
      <c r="H55" s="5"/>
      <c r="I55" s="5"/>
      <c r="J55" s="5"/>
    </row>
    <row r="56" spans="2:10">
      <c r="B56" s="5"/>
      <c r="C56" s="5"/>
      <c r="D56" s="5"/>
      <c r="E56" s="5"/>
      <c r="F56" s="5"/>
      <c r="G56" s="5"/>
      <c r="H56" s="5"/>
      <c r="I56" s="5"/>
      <c r="J56" s="5"/>
    </row>
    <row r="57" spans="2:10">
      <c r="B57" s="5"/>
      <c r="C57" s="5"/>
      <c r="D57" s="5"/>
      <c r="E57" s="5"/>
      <c r="F57" s="5"/>
      <c r="G57" s="5"/>
      <c r="H57" s="5"/>
      <c r="I57" s="5"/>
      <c r="J57" s="5"/>
    </row>
    <row r="58" spans="2:10">
      <c r="B58" s="5"/>
      <c r="C58" s="5"/>
      <c r="D58" s="5"/>
      <c r="E58" s="5"/>
      <c r="F58" s="5"/>
      <c r="G58" s="5"/>
      <c r="H58" s="5"/>
      <c r="I58" s="5"/>
      <c r="J58" s="5"/>
    </row>
    <row r="59" spans="2:10">
      <c r="B59" s="5"/>
      <c r="C59" s="5"/>
      <c r="D59" s="5"/>
      <c r="E59" s="5"/>
      <c r="F59" s="5"/>
      <c r="G59" s="5"/>
      <c r="H59" s="5"/>
      <c r="I59" s="5"/>
      <c r="J59" s="5"/>
    </row>
    <row r="60" spans="2:10">
      <c r="B60" s="5"/>
      <c r="C60" s="5"/>
      <c r="D60" s="5"/>
      <c r="E60" s="5"/>
      <c r="F60" s="5"/>
      <c r="G60" s="5"/>
      <c r="H60" s="5"/>
      <c r="I60" s="5"/>
      <c r="J60" s="5"/>
    </row>
    <row r="61" spans="2:10">
      <c r="B61" s="5"/>
      <c r="C61" s="5"/>
      <c r="D61" s="5"/>
      <c r="E61" s="5"/>
      <c r="F61" s="5"/>
      <c r="G61" s="5"/>
      <c r="H61" s="5"/>
      <c r="I61" s="5"/>
      <c r="J61" s="5"/>
    </row>
    <row r="62" spans="2:10">
      <c r="B62" s="5"/>
      <c r="C62" s="5"/>
      <c r="D62" s="5"/>
      <c r="E62" s="5"/>
      <c r="F62" s="5"/>
      <c r="G62" s="5"/>
      <c r="H62" s="5"/>
      <c r="I62" s="5"/>
      <c r="J62" s="5"/>
    </row>
    <row r="63" spans="2:10">
      <c r="B63" s="5"/>
      <c r="C63" s="5"/>
      <c r="D63" s="5"/>
      <c r="E63" s="5"/>
      <c r="F63" s="5"/>
      <c r="G63" s="5"/>
      <c r="H63" s="5"/>
      <c r="I63" s="5"/>
      <c r="J63" s="5"/>
    </row>
    <row r="64" spans="2:10">
      <c r="B64" s="5"/>
      <c r="C64" s="5"/>
      <c r="D64" s="5"/>
      <c r="E64" s="5"/>
      <c r="F64" s="5"/>
      <c r="G64" s="5"/>
      <c r="H64" s="5"/>
      <c r="I64" s="5"/>
      <c r="J64" s="5"/>
    </row>
    <row r="65" spans="2:10">
      <c r="B65" s="5"/>
      <c r="C65" s="5"/>
      <c r="D65" s="5"/>
      <c r="E65" s="5"/>
      <c r="F65" s="5"/>
      <c r="G65" s="5"/>
      <c r="H65" s="5"/>
      <c r="I65" s="5"/>
      <c r="J65" s="5"/>
    </row>
    <row r="66" spans="2:10">
      <c r="B66" s="5"/>
      <c r="C66" s="5"/>
      <c r="D66" s="5"/>
      <c r="E66" s="5"/>
      <c r="F66" s="5"/>
      <c r="G66" s="5"/>
      <c r="H66" s="5"/>
      <c r="I66" s="5"/>
      <c r="J66" s="5"/>
    </row>
    <row r="67" spans="2:10">
      <c r="B67" s="5"/>
      <c r="C67" s="5"/>
      <c r="D67" s="5"/>
      <c r="E67" s="5"/>
      <c r="F67" s="5"/>
      <c r="G67" s="5"/>
      <c r="H67" s="5"/>
      <c r="I67" s="5"/>
      <c r="J67" s="5"/>
    </row>
    <row r="68" spans="2:10">
      <c r="B68" s="5"/>
      <c r="C68" s="5"/>
      <c r="D68" s="5"/>
      <c r="E68" s="5"/>
      <c r="F68" s="5"/>
      <c r="G68" s="5"/>
      <c r="H68" s="5"/>
      <c r="I68" s="5"/>
      <c r="J68" s="5"/>
    </row>
    <row r="69" spans="2:10">
      <c r="B69" s="5"/>
      <c r="C69" s="5"/>
      <c r="D69" s="5"/>
      <c r="E69" s="5"/>
      <c r="F69" s="5"/>
      <c r="G69" s="5"/>
      <c r="H69" s="5"/>
      <c r="I69" s="5"/>
      <c r="J69" s="5"/>
    </row>
    <row r="70" spans="2:10">
      <c r="B70" s="5"/>
      <c r="C70" s="5"/>
      <c r="D70" s="5"/>
      <c r="E70" s="5"/>
      <c r="F70" s="5"/>
      <c r="G70" s="5"/>
      <c r="H70" s="5"/>
      <c r="I70" s="5"/>
      <c r="J70" s="5"/>
    </row>
    <row r="71" spans="2:10">
      <c r="B71" s="5"/>
      <c r="C71" s="5"/>
      <c r="D71" s="5"/>
      <c r="E71" s="5"/>
      <c r="F71" s="5"/>
      <c r="G71" s="5"/>
      <c r="H71" s="5"/>
      <c r="I71" s="5"/>
      <c r="J71" s="5"/>
    </row>
    <row r="72" spans="2:10">
      <c r="B72" s="5"/>
      <c r="C72" s="5"/>
      <c r="D72" s="5"/>
      <c r="E72" s="5"/>
      <c r="F72" s="5"/>
      <c r="G72" s="5"/>
      <c r="H72" s="5"/>
      <c r="I72" s="5"/>
      <c r="J72" s="5"/>
    </row>
    <row r="73" spans="2:10">
      <c r="B73" s="5"/>
      <c r="C73" s="5"/>
      <c r="D73" s="5"/>
      <c r="E73" s="5"/>
      <c r="F73" s="5"/>
      <c r="G73" s="5"/>
      <c r="H73" s="5"/>
      <c r="I73" s="5"/>
      <c r="J73" s="5"/>
    </row>
    <row r="74" spans="2:10">
      <c r="B74" s="5"/>
      <c r="C74" s="5"/>
      <c r="D74" s="5"/>
      <c r="E74" s="5"/>
      <c r="F74" s="5"/>
      <c r="G74" s="5"/>
      <c r="H74" s="5"/>
      <c r="I74" s="5"/>
      <c r="J74" s="5"/>
    </row>
    <row r="75" spans="2:10">
      <c r="B75" s="5"/>
      <c r="C75" s="5"/>
      <c r="D75" s="5"/>
      <c r="E75" s="5"/>
      <c r="F75" s="5"/>
      <c r="G75" s="5"/>
      <c r="H75" s="5"/>
      <c r="I75" s="5"/>
      <c r="J75" s="5"/>
    </row>
    <row r="76" spans="2:10">
      <c r="B76" s="5"/>
      <c r="C76" s="5"/>
      <c r="D76" s="5"/>
      <c r="E76" s="5"/>
      <c r="F76" s="5"/>
      <c r="G76" s="5"/>
      <c r="H76" s="5"/>
      <c r="I76" s="5"/>
      <c r="J76" s="5"/>
    </row>
    <row r="77" spans="2:10">
      <c r="B77" s="5"/>
      <c r="C77" s="5"/>
      <c r="D77" s="5"/>
      <c r="E77" s="5"/>
      <c r="F77" s="5"/>
      <c r="G77" s="5"/>
      <c r="H77" s="5"/>
      <c r="I77" s="5"/>
      <c r="J77" s="5"/>
    </row>
    <row r="78" spans="2:10">
      <c r="B78" s="5"/>
      <c r="C78" s="5"/>
      <c r="D78" s="5"/>
      <c r="E78" s="5"/>
      <c r="F78" s="5"/>
      <c r="G78" s="5"/>
      <c r="H78" s="5"/>
      <c r="I78" s="5"/>
      <c r="J78" s="5"/>
    </row>
    <row r="79" spans="2:10">
      <c r="B79" s="5"/>
      <c r="C79" s="5"/>
      <c r="D79" s="5"/>
      <c r="E79" s="5"/>
      <c r="F79" s="5"/>
      <c r="G79" s="5"/>
      <c r="H79" s="5"/>
      <c r="I79" s="5"/>
      <c r="J79" s="5"/>
    </row>
    <row r="80" spans="2:10">
      <c r="B80" s="5"/>
      <c r="C80" s="5"/>
      <c r="D80" s="5"/>
      <c r="E80" s="5"/>
      <c r="F80" s="5"/>
      <c r="G80" s="5"/>
      <c r="H80" s="5"/>
      <c r="I80" s="5"/>
      <c r="J80" s="5"/>
    </row>
    <row r="81" spans="2:10">
      <c r="B81" s="5"/>
      <c r="C81" s="5"/>
      <c r="D81" s="5"/>
      <c r="E81" s="5"/>
      <c r="F81" s="5"/>
      <c r="G81" s="5"/>
      <c r="H81" s="5"/>
      <c r="I81" s="5"/>
      <c r="J81" s="5"/>
    </row>
    <row r="82" spans="2:10">
      <c r="B82" s="5"/>
      <c r="C82" s="5"/>
      <c r="D82" s="5"/>
      <c r="E82" s="5"/>
      <c r="F82" s="5"/>
      <c r="G82" s="5"/>
      <c r="H82" s="5"/>
      <c r="I82" s="5"/>
      <c r="J82" s="5"/>
    </row>
    <row r="83" spans="2:10">
      <c r="B83" s="5"/>
      <c r="C83" s="5"/>
      <c r="D83" s="5"/>
      <c r="E83" s="5"/>
      <c r="F83" s="5"/>
      <c r="G83" s="5"/>
      <c r="H83" s="5"/>
      <c r="I83" s="5"/>
      <c r="J83" s="5"/>
    </row>
    <row r="84" spans="2:10">
      <c r="B84" s="5"/>
      <c r="C84" s="5"/>
      <c r="D84" s="5"/>
      <c r="E84" s="5"/>
      <c r="F84" s="5"/>
      <c r="G84" s="5"/>
      <c r="H84" s="5"/>
      <c r="I84" s="5"/>
      <c r="J84" s="5"/>
    </row>
    <row r="85" spans="2:10">
      <c r="B85" s="5"/>
      <c r="C85" s="5"/>
      <c r="D85" s="5"/>
      <c r="E85" s="5"/>
      <c r="F85" s="5"/>
      <c r="G85" s="5"/>
      <c r="H85" s="5"/>
      <c r="I85" s="5"/>
      <c r="J85" s="5"/>
    </row>
    <row r="86" spans="2:10">
      <c r="B86" s="5"/>
      <c r="C86" s="5"/>
      <c r="D86" s="5"/>
      <c r="E86" s="5"/>
      <c r="F86" s="5"/>
      <c r="G86" s="5"/>
      <c r="H86" s="5"/>
      <c r="I86" s="5"/>
      <c r="J86" s="5"/>
    </row>
    <row r="87" spans="2:10">
      <c r="B87" s="5"/>
      <c r="C87" s="5"/>
      <c r="D87" s="5"/>
      <c r="E87" s="5"/>
      <c r="F87" s="5"/>
      <c r="G87" s="5"/>
      <c r="H87" s="5"/>
      <c r="I87" s="5"/>
      <c r="J87" s="5"/>
    </row>
    <row r="88" spans="2:10">
      <c r="B88" s="5"/>
      <c r="C88" s="5"/>
      <c r="D88" s="5"/>
      <c r="E88" s="5"/>
      <c r="F88" s="5"/>
      <c r="G88" s="5"/>
      <c r="H88" s="5"/>
      <c r="I88" s="5"/>
      <c r="J88" s="5"/>
    </row>
    <row r="89" spans="2:10">
      <c r="B89" s="5"/>
      <c r="C89" s="5"/>
      <c r="D89" s="5"/>
      <c r="E89" s="5"/>
      <c r="F89" s="5"/>
      <c r="G89" s="5"/>
      <c r="H89" s="5"/>
      <c r="I89" s="5"/>
      <c r="J89" s="5"/>
    </row>
    <row r="90" spans="2:10">
      <c r="B90" s="5"/>
      <c r="C90" s="5"/>
      <c r="D90" s="5"/>
      <c r="E90" s="5"/>
      <c r="F90" s="5"/>
      <c r="G90" s="5"/>
      <c r="H90" s="5"/>
      <c r="I90" s="5"/>
      <c r="J90" s="5"/>
    </row>
    <row r="91" spans="2:10">
      <c r="B91" s="5"/>
      <c r="C91" s="5"/>
      <c r="D91" s="5"/>
      <c r="E91" s="5"/>
      <c r="F91" s="5"/>
      <c r="G91" s="5"/>
      <c r="H91" s="5"/>
      <c r="I91" s="5"/>
      <c r="J91" s="5"/>
    </row>
    <row r="92" spans="2:10">
      <c r="B92" s="5"/>
      <c r="C92" s="5"/>
      <c r="D92" s="5"/>
      <c r="E92" s="5"/>
      <c r="F92" s="5"/>
      <c r="G92" s="5"/>
      <c r="H92" s="5"/>
      <c r="I92" s="5"/>
      <c r="J92" s="5"/>
    </row>
    <row r="93" spans="2:10">
      <c r="B93" s="5"/>
      <c r="C93" s="5"/>
      <c r="D93" s="5"/>
      <c r="E93" s="5"/>
      <c r="F93" s="5"/>
      <c r="G93" s="5"/>
      <c r="H93" s="5"/>
      <c r="I93" s="5"/>
      <c r="J93" s="5"/>
    </row>
    <row r="94" spans="2:10">
      <c r="B94" s="5"/>
      <c r="C94" s="5"/>
      <c r="D94" s="5"/>
      <c r="E94" s="5"/>
      <c r="F94" s="5"/>
      <c r="G94" s="5"/>
      <c r="H94" s="5"/>
      <c r="I94" s="5"/>
      <c r="J94" s="5"/>
    </row>
    <row r="95" spans="2:10">
      <c r="B95" s="5"/>
      <c r="C95" s="5"/>
      <c r="D95" s="5"/>
      <c r="E95" s="5"/>
      <c r="F95" s="5"/>
      <c r="G95" s="5"/>
      <c r="H95" s="5"/>
      <c r="I95" s="5"/>
      <c r="J95" s="5"/>
    </row>
    <row r="96" spans="2:10">
      <c r="B96" s="5"/>
      <c r="C96" s="5"/>
      <c r="D96" s="5"/>
      <c r="E96" s="5"/>
      <c r="F96" s="5"/>
      <c r="G96" s="5"/>
      <c r="H96" s="5"/>
      <c r="I96" s="5"/>
      <c r="J96" s="5"/>
    </row>
    <row r="97" spans="2:10">
      <c r="B97" s="5"/>
      <c r="C97" s="5"/>
      <c r="D97" s="5"/>
      <c r="E97" s="5"/>
      <c r="F97" s="5"/>
      <c r="G97" s="5"/>
      <c r="H97" s="5"/>
      <c r="I97" s="5"/>
      <c r="J97" s="5"/>
    </row>
    <row r="98" spans="2:10">
      <c r="B98" s="5"/>
      <c r="C98" s="5"/>
      <c r="D98" s="5"/>
      <c r="E98" s="5"/>
      <c r="F98" s="5"/>
      <c r="G98" s="5"/>
      <c r="H98" s="5"/>
      <c r="I98" s="5"/>
      <c r="J98" s="5"/>
    </row>
    <row r="99" spans="2:10">
      <c r="B99" s="5"/>
      <c r="C99" s="5"/>
      <c r="D99" s="5"/>
      <c r="E99" s="5"/>
      <c r="F99" s="5"/>
      <c r="G99" s="5"/>
      <c r="H99" s="5"/>
      <c r="I99" s="5"/>
      <c r="J99" s="5"/>
    </row>
    <row r="100" spans="2:10">
      <c r="B100" s="5"/>
      <c r="C100" s="5"/>
      <c r="D100" s="5"/>
      <c r="E100" s="5"/>
      <c r="F100" s="5"/>
      <c r="G100" s="5"/>
      <c r="H100" s="5"/>
      <c r="I100" s="5"/>
      <c r="J100" s="5"/>
    </row>
    <row r="101" spans="2:10">
      <c r="B101" s="5"/>
      <c r="C101" s="5"/>
      <c r="D101" s="5"/>
      <c r="E101" s="5"/>
      <c r="F101" s="5"/>
      <c r="G101" s="5"/>
      <c r="H101" s="5"/>
      <c r="I101" s="5"/>
      <c r="J101" s="5"/>
    </row>
    <row r="102" spans="2:10">
      <c r="B102" s="5"/>
      <c r="C102" s="5"/>
      <c r="D102" s="5"/>
      <c r="E102" s="5"/>
      <c r="F102" s="5"/>
      <c r="G102" s="5"/>
      <c r="H102" s="5"/>
      <c r="I102" s="5"/>
      <c r="J102" s="5"/>
    </row>
    <row r="103" spans="2:10">
      <c r="B103" s="5"/>
      <c r="C103" s="5"/>
      <c r="D103" s="5"/>
      <c r="E103" s="5"/>
      <c r="F103" s="5"/>
      <c r="G103" s="5"/>
      <c r="H103" s="5"/>
      <c r="I103" s="5"/>
      <c r="J103" s="5"/>
    </row>
    <row r="104" spans="2:10">
      <c r="B104" s="5"/>
      <c r="C104" s="5"/>
      <c r="D104" s="5"/>
      <c r="E104" s="5"/>
      <c r="F104" s="5"/>
      <c r="G104" s="5"/>
      <c r="H104" s="5"/>
      <c r="I104" s="5"/>
      <c r="J104" s="5"/>
    </row>
    <row r="105" spans="2:10">
      <c r="B105" s="5"/>
      <c r="C105" s="5"/>
      <c r="D105" s="5"/>
      <c r="E105" s="5"/>
      <c r="F105" s="5"/>
      <c r="G105" s="5"/>
      <c r="H105" s="5"/>
      <c r="I105" s="5"/>
      <c r="J105" s="5"/>
    </row>
    <row r="106" spans="2:10">
      <c r="B106" s="5"/>
      <c r="C106" s="5"/>
      <c r="D106" s="5"/>
      <c r="E106" s="5"/>
      <c r="F106" s="5"/>
      <c r="G106" s="5"/>
      <c r="H106" s="5"/>
      <c r="I106" s="5"/>
      <c r="J106" s="5"/>
    </row>
    <row r="107" spans="2:10">
      <c r="B107" s="5"/>
      <c r="C107" s="5"/>
      <c r="D107" s="5"/>
      <c r="E107" s="5"/>
      <c r="F107" s="5"/>
      <c r="G107" s="5"/>
      <c r="H107" s="5"/>
      <c r="I107" s="5"/>
      <c r="J107" s="5"/>
    </row>
    <row r="108" spans="2:10">
      <c r="B108" s="5"/>
      <c r="C108" s="5"/>
      <c r="D108" s="5"/>
      <c r="E108" s="5"/>
      <c r="F108" s="5"/>
      <c r="G108" s="5"/>
      <c r="H108" s="5"/>
      <c r="I108" s="5"/>
      <c r="J108" s="5"/>
    </row>
    <row r="109" spans="2:10">
      <c r="B109" s="5"/>
      <c r="C109" s="5"/>
      <c r="D109" s="5"/>
      <c r="E109" s="5"/>
      <c r="F109" s="5"/>
      <c r="G109" s="5"/>
      <c r="H109" s="5"/>
      <c r="I109" s="5"/>
      <c r="J109" s="5"/>
    </row>
    <row r="110" spans="2:10">
      <c r="B110" s="5"/>
      <c r="C110" s="5"/>
      <c r="D110" s="5"/>
      <c r="E110" s="5"/>
      <c r="F110" s="5"/>
      <c r="G110" s="5"/>
      <c r="H110" s="5"/>
      <c r="I110" s="5"/>
      <c r="J110" s="5"/>
    </row>
    <row r="111" spans="2:10">
      <c r="B111" s="5"/>
      <c r="C111" s="5"/>
      <c r="D111" s="5"/>
      <c r="E111" s="5"/>
      <c r="F111" s="5"/>
      <c r="G111" s="5"/>
      <c r="H111" s="5"/>
      <c r="I111" s="5"/>
      <c r="J111" s="5"/>
    </row>
    <row r="112" spans="2:10">
      <c r="B112" s="5"/>
      <c r="C112" s="5"/>
      <c r="D112" s="5"/>
      <c r="E112" s="5"/>
      <c r="F112" s="5"/>
      <c r="G112" s="5"/>
      <c r="H112" s="5"/>
      <c r="I112" s="5"/>
      <c r="J112" s="5"/>
    </row>
    <row r="113" spans="2:10">
      <c r="B113" s="5"/>
      <c r="C113" s="5"/>
      <c r="D113" s="5"/>
      <c r="E113" s="5"/>
      <c r="F113" s="5"/>
      <c r="G113" s="5"/>
      <c r="H113" s="5"/>
      <c r="I113" s="5"/>
      <c r="J113" s="5"/>
    </row>
    <row r="114" spans="2:10">
      <c r="B114" s="5"/>
      <c r="C114" s="5"/>
      <c r="D114" s="5"/>
      <c r="E114" s="5"/>
      <c r="F114" s="5"/>
      <c r="G114" s="5"/>
      <c r="H114" s="5"/>
      <c r="I114" s="5"/>
      <c r="J114" s="5"/>
    </row>
    <row r="115" spans="2:10">
      <c r="B115" s="5"/>
      <c r="C115" s="5"/>
      <c r="D115" s="5"/>
      <c r="E115" s="5"/>
      <c r="F115" s="5"/>
      <c r="G115" s="5"/>
      <c r="H115" s="5"/>
      <c r="I115" s="5"/>
      <c r="J115" s="5"/>
    </row>
    <row r="116" spans="2:10">
      <c r="B116" s="5"/>
      <c r="C116" s="5"/>
      <c r="D116" s="5"/>
      <c r="E116" s="5"/>
      <c r="F116" s="5"/>
      <c r="G116" s="5"/>
      <c r="H116" s="5"/>
      <c r="I116" s="5"/>
      <c r="J116" s="5"/>
    </row>
    <row r="117" spans="2:10">
      <c r="B117" s="5"/>
      <c r="C117" s="5"/>
      <c r="D117" s="5"/>
      <c r="E117" s="5"/>
      <c r="F117" s="5"/>
      <c r="G117" s="5"/>
      <c r="H117" s="5"/>
      <c r="I117" s="5"/>
      <c r="J117" s="5"/>
    </row>
    <row r="118" spans="2:10">
      <c r="B118" s="5"/>
      <c r="C118" s="5"/>
      <c r="D118" s="5"/>
      <c r="E118" s="5"/>
      <c r="F118" s="5"/>
      <c r="G118" s="5"/>
      <c r="H118" s="5"/>
      <c r="I118" s="5"/>
      <c r="J118" s="5"/>
    </row>
    <row r="119" spans="2:10">
      <c r="B119" s="5"/>
      <c r="C119" s="5"/>
      <c r="D119" s="5"/>
      <c r="E119" s="5"/>
      <c r="F119" s="5"/>
      <c r="G119" s="5"/>
      <c r="H119" s="5"/>
      <c r="I119" s="5"/>
      <c r="J119" s="5"/>
    </row>
    <row r="120" spans="2:10">
      <c r="B120" s="5"/>
      <c r="C120" s="5"/>
      <c r="D120" s="5"/>
      <c r="E120" s="5"/>
      <c r="F120" s="5"/>
      <c r="G120" s="5"/>
      <c r="H120" s="5"/>
      <c r="I120" s="5"/>
      <c r="J120" s="5"/>
    </row>
    <row r="121" spans="2:10">
      <c r="B121" s="5"/>
      <c r="C121" s="5"/>
      <c r="D121" s="5"/>
      <c r="E121" s="5"/>
      <c r="F121" s="5"/>
      <c r="G121" s="5"/>
      <c r="H121" s="5"/>
      <c r="I121" s="5"/>
      <c r="J121" s="5"/>
    </row>
    <row r="122" spans="2:10">
      <c r="B122" s="5"/>
      <c r="C122" s="5"/>
      <c r="D122" s="5"/>
      <c r="E122" s="5"/>
      <c r="F122" s="5"/>
      <c r="G122" s="5"/>
      <c r="H122" s="5"/>
      <c r="I122" s="5"/>
      <c r="J122" s="5"/>
    </row>
    <row r="123" spans="2:10">
      <c r="B123" s="5"/>
      <c r="C123" s="5"/>
      <c r="D123" s="5"/>
      <c r="E123" s="5"/>
      <c r="F123" s="5"/>
      <c r="G123" s="5"/>
      <c r="H123" s="5"/>
      <c r="I123" s="5"/>
      <c r="J123" s="5"/>
    </row>
    <row r="124" spans="2:10">
      <c r="B124" s="5"/>
      <c r="C124" s="5"/>
      <c r="D124" s="5"/>
      <c r="E124" s="5"/>
      <c r="F124" s="5"/>
      <c r="G124" s="5"/>
      <c r="H124" s="5"/>
      <c r="I124" s="5"/>
      <c r="J124" s="5"/>
    </row>
    <row r="125" spans="2:10">
      <c r="B125" s="5"/>
      <c r="C125" s="5"/>
      <c r="D125" s="5"/>
      <c r="E125" s="5"/>
      <c r="F125" s="5"/>
      <c r="G125" s="5"/>
      <c r="H125" s="5"/>
      <c r="I125" s="5"/>
      <c r="J125" s="5"/>
    </row>
    <row r="126" spans="2:10">
      <c r="B126" s="5"/>
      <c r="C126" s="5"/>
      <c r="D126" s="5"/>
      <c r="E126" s="5"/>
      <c r="F126" s="5"/>
      <c r="G126" s="5"/>
      <c r="H126" s="5"/>
      <c r="I126" s="5"/>
      <c r="J126" s="5"/>
    </row>
    <row r="127" spans="2:10">
      <c r="B127" s="5"/>
      <c r="C127" s="5"/>
      <c r="D127" s="5"/>
      <c r="E127" s="5"/>
      <c r="F127" s="5"/>
      <c r="G127" s="5"/>
      <c r="H127" s="5"/>
      <c r="I127" s="5"/>
      <c r="J127" s="5"/>
    </row>
    <row r="128" spans="2:10">
      <c r="B128" s="5"/>
      <c r="C128" s="5"/>
      <c r="D128" s="5"/>
      <c r="E128" s="5"/>
      <c r="F128" s="5"/>
      <c r="G128" s="5"/>
      <c r="H128" s="5"/>
      <c r="I128" s="5"/>
      <c r="J128" s="5"/>
    </row>
    <row r="129" spans="2:10">
      <c r="B129" s="5"/>
      <c r="C129" s="5"/>
      <c r="D129" s="5"/>
      <c r="E129" s="5"/>
      <c r="F129" s="5"/>
      <c r="G129" s="5"/>
      <c r="H129" s="5"/>
      <c r="I129" s="5"/>
      <c r="J129" s="5"/>
    </row>
    <row r="130" spans="2:10">
      <c r="B130" s="5"/>
      <c r="C130" s="5"/>
      <c r="D130" s="5"/>
      <c r="E130" s="5"/>
      <c r="F130" s="5"/>
      <c r="G130" s="5"/>
      <c r="H130" s="5"/>
      <c r="I130" s="5"/>
      <c r="J130" s="5"/>
    </row>
    <row r="131" spans="2:10">
      <c r="B131" s="5"/>
      <c r="C131" s="5"/>
      <c r="D131" s="5"/>
      <c r="E131" s="5"/>
      <c r="F131" s="5"/>
      <c r="G131" s="5"/>
      <c r="H131" s="5"/>
      <c r="I131" s="5"/>
      <c r="J131" s="5"/>
    </row>
    <row r="132" spans="2:10">
      <c r="B132" s="5"/>
      <c r="C132" s="5"/>
      <c r="D132" s="5"/>
      <c r="E132" s="5"/>
      <c r="F132" s="5"/>
      <c r="G132" s="5"/>
      <c r="H132" s="5"/>
      <c r="I132" s="5"/>
      <c r="J132" s="5"/>
    </row>
    <row r="133" spans="2:10">
      <c r="B133" s="5"/>
      <c r="C133" s="5"/>
      <c r="D133" s="5"/>
      <c r="E133" s="5"/>
      <c r="F133" s="5"/>
      <c r="G133" s="5"/>
      <c r="H133" s="5"/>
      <c r="I133" s="5"/>
      <c r="J133" s="5"/>
    </row>
    <row r="134" spans="2:10">
      <c r="B134" s="5"/>
      <c r="C134" s="5"/>
      <c r="D134" s="5"/>
      <c r="E134" s="5"/>
      <c r="F134" s="5"/>
      <c r="G134" s="5"/>
      <c r="H134" s="5"/>
      <c r="I134" s="5"/>
      <c r="J134" s="5"/>
    </row>
    <row r="135" spans="2:10">
      <c r="B135" s="5"/>
      <c r="C135" s="5"/>
      <c r="D135" s="5"/>
      <c r="E135" s="5"/>
      <c r="F135" s="5"/>
      <c r="G135" s="5"/>
      <c r="H135" s="5"/>
      <c r="I135" s="5"/>
      <c r="J135" s="5"/>
    </row>
    <row r="136" spans="2:10">
      <c r="B136" s="5"/>
      <c r="C136" s="5"/>
      <c r="D136" s="5"/>
      <c r="E136" s="5"/>
      <c r="F136" s="5"/>
      <c r="G136" s="5"/>
      <c r="H136" s="5"/>
      <c r="I136" s="5"/>
      <c r="J136" s="5"/>
    </row>
    <row r="137" spans="2:10">
      <c r="B137" s="5"/>
      <c r="C137" s="5"/>
      <c r="D137" s="5"/>
      <c r="E137" s="5"/>
      <c r="F137" s="5"/>
      <c r="G137" s="5"/>
      <c r="H137" s="5"/>
      <c r="I137" s="5"/>
      <c r="J137" s="5"/>
    </row>
    <row r="138" spans="2:10">
      <c r="B138" s="5"/>
      <c r="C138" s="5"/>
      <c r="D138" s="5"/>
      <c r="E138" s="5"/>
      <c r="F138" s="5"/>
      <c r="G138" s="5"/>
      <c r="H138" s="5"/>
      <c r="I138" s="5"/>
      <c r="J138" s="5"/>
    </row>
    <row r="139" spans="2:10">
      <c r="B139" s="5"/>
      <c r="C139" s="5"/>
      <c r="D139" s="5"/>
      <c r="E139" s="5"/>
      <c r="F139" s="5"/>
      <c r="G139" s="5"/>
      <c r="H139" s="5"/>
      <c r="I139" s="5"/>
      <c r="J139" s="5"/>
    </row>
    <row r="140" spans="2:10">
      <c r="B140" s="5"/>
      <c r="C140" s="5"/>
      <c r="D140" s="5"/>
      <c r="E140" s="5"/>
      <c r="F140" s="5"/>
      <c r="G140" s="5"/>
      <c r="H140" s="5"/>
      <c r="I140" s="5"/>
      <c r="J140" s="5"/>
    </row>
    <row r="141" spans="2:10">
      <c r="B141" s="5"/>
      <c r="C141" s="5"/>
      <c r="D141" s="5"/>
      <c r="E141" s="5"/>
      <c r="F141" s="5"/>
      <c r="G141" s="5"/>
      <c r="H141" s="5"/>
      <c r="I141" s="5"/>
      <c r="J141" s="5"/>
    </row>
    <row r="142" spans="2:10">
      <c r="B142" s="5"/>
      <c r="C142" s="5"/>
      <c r="D142" s="5"/>
      <c r="E142" s="5"/>
      <c r="F142" s="5"/>
      <c r="G142" s="5"/>
      <c r="H142" s="5"/>
      <c r="I142" s="5"/>
      <c r="J142" s="5"/>
    </row>
    <row r="143" spans="2:10">
      <c r="B143" s="5"/>
      <c r="C143" s="5"/>
      <c r="D143" s="5"/>
      <c r="E143" s="5"/>
      <c r="F143" s="5"/>
      <c r="G143" s="5"/>
      <c r="H143" s="5"/>
      <c r="I143" s="5"/>
      <c r="J143" s="5"/>
    </row>
    <row r="144" spans="2:10">
      <c r="B144" s="5"/>
      <c r="C144" s="5"/>
      <c r="D144" s="5"/>
      <c r="E144" s="5"/>
      <c r="F144" s="5"/>
      <c r="G144" s="5"/>
      <c r="H144" s="5"/>
      <c r="I144" s="5"/>
      <c r="J144" s="5"/>
    </row>
    <row r="145" spans="2:10">
      <c r="B145" s="5"/>
      <c r="C145" s="5"/>
      <c r="D145" s="5"/>
      <c r="E145" s="5"/>
      <c r="F145" s="5"/>
      <c r="G145" s="5"/>
      <c r="H145" s="5"/>
      <c r="I145" s="5"/>
      <c r="J145" s="5"/>
    </row>
    <row r="146" spans="2:10">
      <c r="B146" s="5"/>
      <c r="C146" s="5"/>
      <c r="D146" s="5"/>
      <c r="E146" s="5"/>
      <c r="F146" s="5"/>
      <c r="G146" s="5"/>
      <c r="H146" s="5"/>
      <c r="I146" s="5"/>
      <c r="J146" s="5"/>
    </row>
    <row r="147" spans="2:10">
      <c r="B147" s="5"/>
      <c r="C147" s="5"/>
      <c r="D147" s="5"/>
      <c r="E147" s="5"/>
      <c r="F147" s="5"/>
      <c r="G147" s="5"/>
      <c r="H147" s="5"/>
      <c r="I147" s="5"/>
      <c r="J147" s="5"/>
    </row>
    <row r="148" spans="2:10">
      <c r="B148" s="5"/>
      <c r="C148" s="5"/>
      <c r="D148" s="5"/>
      <c r="E148" s="5"/>
      <c r="F148" s="5"/>
      <c r="G148" s="5"/>
      <c r="H148" s="5"/>
      <c r="I148" s="5"/>
      <c r="J148" s="5"/>
    </row>
    <row r="149" spans="2:10">
      <c r="B149" s="5"/>
      <c r="C149" s="5"/>
      <c r="D149" s="5"/>
      <c r="E149" s="5"/>
      <c r="F149" s="5"/>
      <c r="G149" s="5"/>
      <c r="H149" s="5"/>
      <c r="I149" s="5"/>
      <c r="J149" s="5"/>
    </row>
    <row r="150" spans="2:10">
      <c r="B150" s="5"/>
      <c r="C150" s="5"/>
      <c r="D150" s="5"/>
      <c r="E150" s="5"/>
      <c r="F150" s="5"/>
      <c r="G150" s="5"/>
      <c r="H150" s="5"/>
      <c r="I150" s="5"/>
      <c r="J150" s="5"/>
    </row>
    <row r="151" spans="2:10">
      <c r="B151" s="5"/>
      <c r="C151" s="5"/>
      <c r="D151" s="5"/>
      <c r="E151" s="5"/>
      <c r="F151" s="5"/>
      <c r="G151" s="5"/>
      <c r="H151" s="5"/>
      <c r="I151" s="5"/>
      <c r="J151" s="5"/>
    </row>
    <row r="152" spans="2:10">
      <c r="B152" s="5"/>
      <c r="C152" s="5"/>
      <c r="D152" s="5"/>
      <c r="E152" s="5"/>
      <c r="F152" s="5"/>
      <c r="G152" s="5"/>
      <c r="H152" s="5"/>
      <c r="I152" s="5"/>
      <c r="J152" s="5"/>
    </row>
    <row r="153" spans="2:10">
      <c r="B153" s="5"/>
      <c r="C153" s="5"/>
      <c r="D153" s="5"/>
      <c r="E153" s="5"/>
      <c r="F153" s="5"/>
      <c r="G153" s="5"/>
      <c r="H153" s="5"/>
      <c r="I153" s="5"/>
      <c r="J153" s="5"/>
    </row>
    <row r="154" spans="2:10">
      <c r="B154" s="5"/>
      <c r="C154" s="5"/>
      <c r="D154" s="5"/>
      <c r="E154" s="5"/>
      <c r="F154" s="5"/>
      <c r="G154" s="5"/>
      <c r="H154" s="5"/>
      <c r="I154" s="5"/>
      <c r="J154" s="5"/>
    </row>
    <row r="155" spans="2:10">
      <c r="B155" s="5"/>
      <c r="C155" s="5"/>
      <c r="D155" s="5"/>
      <c r="E155" s="5"/>
      <c r="F155" s="5"/>
      <c r="G155" s="5"/>
      <c r="H155" s="5"/>
      <c r="I155" s="5"/>
      <c r="J155" s="5"/>
    </row>
    <row r="156" spans="2:10">
      <c r="B156" s="5"/>
      <c r="C156" s="5"/>
      <c r="D156" s="5"/>
      <c r="E156" s="5"/>
      <c r="F156" s="5"/>
      <c r="G156" s="5"/>
      <c r="H156" s="5"/>
      <c r="I156" s="5"/>
      <c r="J156" s="5"/>
    </row>
    <row r="157" spans="2:10">
      <c r="B157" s="5"/>
      <c r="C157" s="5"/>
      <c r="D157" s="5"/>
      <c r="E157" s="5"/>
      <c r="F157" s="5"/>
      <c r="G157" s="5"/>
      <c r="H157" s="5"/>
      <c r="I157" s="5"/>
      <c r="J157" s="5"/>
    </row>
    <row r="158" spans="2:10">
      <c r="B158" s="5"/>
      <c r="C158" s="5"/>
      <c r="D158" s="5"/>
      <c r="E158" s="5"/>
      <c r="F158" s="5"/>
      <c r="G158" s="5"/>
      <c r="H158" s="5"/>
      <c r="I158" s="5"/>
      <c r="J158" s="5"/>
    </row>
    <row r="159" spans="2:10">
      <c r="B159" s="5"/>
      <c r="C159" s="5"/>
      <c r="D159" s="5"/>
      <c r="E159" s="5"/>
      <c r="F159" s="5"/>
      <c r="G159" s="5"/>
      <c r="H159" s="5"/>
      <c r="I159" s="5"/>
      <c r="J159" s="5"/>
    </row>
    <row r="160" spans="2:10">
      <c r="B160" s="5"/>
      <c r="C160" s="5"/>
      <c r="D160" s="5"/>
      <c r="E160" s="5"/>
      <c r="F160" s="5"/>
      <c r="G160" s="5"/>
      <c r="H160" s="5"/>
      <c r="I160" s="5"/>
      <c r="J160" s="5"/>
    </row>
    <row r="161" spans="2:10">
      <c r="B161" s="5"/>
      <c r="C161" s="5"/>
      <c r="D161" s="5"/>
      <c r="E161" s="5"/>
      <c r="F161" s="5"/>
      <c r="G161" s="5"/>
      <c r="H161" s="5"/>
      <c r="I161" s="5"/>
      <c r="J161" s="5"/>
    </row>
    <row r="162" spans="2:10">
      <c r="B162" s="5"/>
      <c r="C162" s="5"/>
      <c r="D162" s="5"/>
      <c r="E162" s="5"/>
      <c r="F162" s="5"/>
      <c r="G162" s="5"/>
      <c r="H162" s="5"/>
      <c r="I162" s="5"/>
      <c r="J162" s="5"/>
    </row>
    <row r="163" spans="2:10">
      <c r="B163" s="5"/>
      <c r="C163" s="5"/>
      <c r="D163" s="5"/>
      <c r="E163" s="5"/>
      <c r="F163" s="5"/>
      <c r="G163" s="5"/>
      <c r="H163" s="5"/>
      <c r="I163" s="5"/>
      <c r="J163" s="5"/>
    </row>
    <row r="164" spans="2:10">
      <c r="B164" s="5"/>
      <c r="C164" s="5"/>
      <c r="D164" s="5"/>
      <c r="E164" s="5"/>
      <c r="F164" s="5"/>
      <c r="G164" s="5"/>
      <c r="H164" s="5"/>
      <c r="I164" s="5"/>
      <c r="J164" s="5"/>
    </row>
    <row r="165" spans="2:10">
      <c r="B165" s="5"/>
      <c r="C165" s="5"/>
      <c r="D165" s="5"/>
      <c r="E165" s="5"/>
      <c r="F165" s="5"/>
      <c r="G165" s="5"/>
      <c r="H165" s="5"/>
      <c r="I165" s="5"/>
      <c r="J165" s="5"/>
    </row>
    <row r="166" spans="2:10">
      <c r="B166" s="5"/>
      <c r="C166" s="5"/>
      <c r="D166" s="5"/>
      <c r="E166" s="5"/>
      <c r="F166" s="5"/>
      <c r="G166" s="5"/>
      <c r="H166" s="5"/>
      <c r="I166" s="5"/>
      <c r="J166" s="5"/>
    </row>
    <row r="167" spans="2:10">
      <c r="B167" s="5"/>
      <c r="C167" s="5"/>
      <c r="D167" s="5"/>
      <c r="E167" s="5"/>
      <c r="F167" s="5"/>
      <c r="G167" s="5"/>
      <c r="H167" s="5"/>
      <c r="I167" s="5"/>
      <c r="J167" s="5"/>
    </row>
    <row r="168" spans="2:10">
      <c r="B168" s="5"/>
      <c r="C168" s="5"/>
      <c r="D168" s="5"/>
      <c r="E168" s="5"/>
      <c r="F168" s="5"/>
      <c r="G168" s="5"/>
      <c r="H168" s="5"/>
      <c r="I168" s="5"/>
      <c r="J168" s="5"/>
    </row>
    <row r="169" spans="2:10">
      <c r="B169" s="5"/>
      <c r="C169" s="5"/>
      <c r="D169" s="5"/>
      <c r="E169" s="5"/>
      <c r="F169" s="5"/>
      <c r="G169" s="5"/>
      <c r="H169" s="5"/>
      <c r="I169" s="5"/>
      <c r="J169" s="5"/>
    </row>
    <row r="170" spans="2:10">
      <c r="B170" s="5"/>
      <c r="C170" s="5"/>
      <c r="D170" s="5"/>
      <c r="E170" s="5"/>
      <c r="F170" s="5"/>
      <c r="G170" s="5"/>
      <c r="H170" s="5"/>
      <c r="I170" s="5"/>
      <c r="J170" s="5"/>
    </row>
    <row r="171" spans="2:10">
      <c r="B171" s="5"/>
      <c r="C171" s="5"/>
      <c r="D171" s="5"/>
      <c r="E171" s="5"/>
      <c r="F171" s="5"/>
      <c r="G171" s="5"/>
      <c r="H171" s="5"/>
      <c r="I171" s="5"/>
      <c r="J171" s="5"/>
    </row>
    <row r="172" spans="2:10">
      <c r="B172" s="5"/>
      <c r="C172" s="5"/>
      <c r="D172" s="5"/>
      <c r="E172" s="5"/>
      <c r="F172" s="5"/>
      <c r="G172" s="5"/>
      <c r="H172" s="5"/>
      <c r="I172" s="5"/>
      <c r="J172" s="5"/>
    </row>
    <row r="173" spans="2:10">
      <c r="B173" s="5"/>
      <c r="C173" s="5"/>
      <c r="D173" s="5"/>
      <c r="E173" s="5"/>
      <c r="F173" s="5"/>
      <c r="G173" s="5"/>
      <c r="H173" s="5"/>
      <c r="I173" s="5"/>
      <c r="J173" s="5"/>
    </row>
    <row r="174" spans="2:10">
      <c r="B174" s="5"/>
      <c r="C174" s="5"/>
      <c r="D174" s="5"/>
      <c r="E174" s="5"/>
      <c r="F174" s="5"/>
      <c r="G174" s="5"/>
      <c r="H174" s="5"/>
      <c r="I174" s="5"/>
      <c r="J174" s="5"/>
    </row>
    <row r="175" spans="2:10">
      <c r="B175" s="5"/>
      <c r="C175" s="5"/>
      <c r="D175" s="5"/>
      <c r="E175" s="5"/>
      <c r="F175" s="5"/>
      <c r="G175" s="5"/>
      <c r="H175" s="5"/>
      <c r="I175" s="5"/>
      <c r="J175" s="5"/>
    </row>
    <row r="176" spans="2:10">
      <c r="B176" s="5"/>
      <c r="C176" s="5"/>
      <c r="D176" s="5"/>
      <c r="E176" s="5"/>
      <c r="F176" s="5"/>
      <c r="G176" s="5"/>
      <c r="H176" s="5"/>
      <c r="I176" s="5"/>
      <c r="J176" s="5"/>
    </row>
    <row r="177" spans="2:10">
      <c r="B177" s="5"/>
      <c r="C177" s="5"/>
      <c r="D177" s="5"/>
      <c r="E177" s="5"/>
      <c r="F177" s="5"/>
      <c r="G177" s="5"/>
      <c r="H177" s="5"/>
      <c r="I177" s="5"/>
      <c r="J177" s="5"/>
    </row>
    <row r="178" spans="2:10">
      <c r="B178" s="5"/>
      <c r="C178" s="5"/>
      <c r="D178" s="5"/>
      <c r="E178" s="5"/>
      <c r="F178" s="5"/>
      <c r="G178" s="5"/>
      <c r="H178" s="5"/>
      <c r="I178" s="5"/>
      <c r="J178" s="5"/>
    </row>
    <row r="179" spans="2:10">
      <c r="B179" s="5"/>
      <c r="C179" s="5"/>
      <c r="D179" s="5"/>
      <c r="E179" s="5"/>
      <c r="F179" s="5"/>
      <c r="G179" s="5"/>
      <c r="H179" s="5"/>
      <c r="I179" s="5"/>
      <c r="J179" s="5"/>
    </row>
    <row r="180" spans="2:10">
      <c r="B180" s="5"/>
      <c r="C180" s="5"/>
      <c r="D180" s="5"/>
      <c r="E180" s="5"/>
      <c r="F180" s="5"/>
      <c r="G180" s="5"/>
      <c r="H180" s="5"/>
      <c r="I180" s="5"/>
      <c r="J180" s="5"/>
    </row>
    <row r="181" spans="2:10">
      <c r="B181" s="5"/>
      <c r="C181" s="5"/>
      <c r="D181" s="5"/>
      <c r="E181" s="5"/>
      <c r="F181" s="5"/>
      <c r="G181" s="5"/>
      <c r="H181" s="5"/>
      <c r="I181" s="5"/>
      <c r="J181" s="5"/>
    </row>
    <row r="182" spans="2:10">
      <c r="B182" s="5"/>
      <c r="C182" s="5"/>
      <c r="D182" s="5"/>
      <c r="E182" s="5"/>
      <c r="F182" s="5"/>
      <c r="G182" s="5"/>
      <c r="H182" s="5"/>
      <c r="I182" s="5"/>
      <c r="J182" s="5"/>
    </row>
    <row r="183" spans="2:10">
      <c r="B183" s="5"/>
      <c r="C183" s="5"/>
      <c r="D183" s="5"/>
      <c r="E183" s="5"/>
      <c r="F183" s="5"/>
      <c r="G183" s="5"/>
      <c r="H183" s="5"/>
      <c r="I183" s="5"/>
      <c r="J183" s="5"/>
    </row>
    <row r="184" spans="2:10">
      <c r="B184" s="5"/>
      <c r="C184" s="5"/>
      <c r="D184" s="5"/>
      <c r="E184" s="5"/>
      <c r="F184" s="5"/>
      <c r="G184" s="5"/>
      <c r="H184" s="5"/>
      <c r="I184" s="5"/>
      <c r="J184" s="5"/>
    </row>
    <row r="185" spans="2:10">
      <c r="B185" s="5"/>
      <c r="C185" s="5"/>
      <c r="D185" s="5"/>
      <c r="E185" s="5"/>
      <c r="F185" s="5"/>
      <c r="G185" s="5"/>
      <c r="H185" s="5"/>
      <c r="I185" s="5"/>
      <c r="J185" s="5"/>
    </row>
    <row r="186" spans="2:10">
      <c r="B186" s="5"/>
      <c r="C186" s="5"/>
      <c r="D186" s="5"/>
      <c r="E186" s="5"/>
      <c r="F186" s="5"/>
      <c r="G186" s="5"/>
      <c r="H186" s="5"/>
      <c r="I186" s="5"/>
      <c r="J186" s="5"/>
    </row>
    <row r="187" spans="2:10">
      <c r="B187" s="5"/>
      <c r="C187" s="5"/>
      <c r="D187" s="5"/>
      <c r="E187" s="5"/>
      <c r="F187" s="5"/>
      <c r="G187" s="5"/>
      <c r="H187" s="5"/>
      <c r="I187" s="5"/>
      <c r="J187" s="5"/>
    </row>
    <row r="188" spans="2:10">
      <c r="B188" s="5"/>
      <c r="C188" s="5"/>
      <c r="D188" s="5"/>
      <c r="E188" s="5"/>
      <c r="F188" s="5"/>
      <c r="G188" s="5"/>
      <c r="H188" s="5"/>
      <c r="I188" s="5"/>
      <c r="J188" s="5"/>
    </row>
    <row r="189" spans="2:10">
      <c r="B189" s="5"/>
      <c r="C189" s="5"/>
      <c r="D189" s="5"/>
      <c r="E189" s="5"/>
      <c r="F189" s="5"/>
      <c r="G189" s="5"/>
      <c r="H189" s="5"/>
      <c r="I189" s="5"/>
      <c r="J189" s="5"/>
    </row>
    <row r="190" spans="2:10">
      <c r="B190" s="5"/>
      <c r="C190" s="5"/>
      <c r="D190" s="5"/>
      <c r="E190" s="5"/>
      <c r="F190" s="5"/>
      <c r="G190" s="5"/>
      <c r="H190" s="5"/>
      <c r="I190" s="5"/>
      <c r="J190" s="5"/>
    </row>
    <row r="191" spans="2:10">
      <c r="B191" s="5"/>
      <c r="C191" s="5"/>
      <c r="D191" s="5"/>
      <c r="E191" s="5"/>
      <c r="F191" s="5"/>
      <c r="G191" s="5"/>
      <c r="H191" s="5"/>
      <c r="I191" s="5"/>
      <c r="J191" s="5"/>
    </row>
    <row r="192" spans="2:10">
      <c r="B192" s="5"/>
      <c r="C192" s="5"/>
      <c r="D192" s="5"/>
      <c r="E192" s="5"/>
      <c r="F192" s="5"/>
      <c r="G192" s="5"/>
      <c r="H192" s="5"/>
      <c r="I192" s="5"/>
      <c r="J192" s="5"/>
    </row>
    <row r="193" spans="2:10">
      <c r="B193" s="5"/>
      <c r="C193" s="5"/>
      <c r="D193" s="5"/>
      <c r="E193" s="5"/>
      <c r="F193" s="5"/>
      <c r="G193" s="5"/>
      <c r="H193" s="5"/>
      <c r="I193" s="5"/>
      <c r="J193" s="5"/>
    </row>
    <row r="194" spans="2:10">
      <c r="B194" s="5"/>
      <c r="C194" s="5"/>
      <c r="D194" s="5"/>
      <c r="E194" s="5"/>
      <c r="F194" s="5"/>
      <c r="G194" s="5"/>
      <c r="H194" s="5"/>
      <c r="I194" s="5"/>
      <c r="J194" s="5"/>
    </row>
    <row r="195" spans="2:10">
      <c r="B195" s="5"/>
      <c r="C195" s="5"/>
      <c r="D195" s="5"/>
      <c r="E195" s="5"/>
      <c r="F195" s="5"/>
      <c r="G195" s="5"/>
      <c r="H195" s="5"/>
      <c r="I195" s="5"/>
      <c r="J195" s="5"/>
    </row>
    <row r="196" spans="2:10">
      <c r="B196" s="5"/>
      <c r="C196" s="5"/>
      <c r="D196" s="5"/>
      <c r="E196" s="5"/>
      <c r="F196" s="5"/>
      <c r="G196" s="5"/>
      <c r="H196" s="5"/>
      <c r="I196" s="5"/>
      <c r="J196" s="5"/>
    </row>
    <row r="197" spans="2:10">
      <c r="B197" s="5"/>
      <c r="C197" s="5"/>
      <c r="D197" s="5"/>
      <c r="E197" s="5"/>
      <c r="F197" s="5"/>
      <c r="G197" s="5"/>
      <c r="H197" s="5"/>
      <c r="I197" s="5"/>
      <c r="J197" s="5"/>
    </row>
    <row r="198" spans="2:10">
      <c r="B198" s="5"/>
      <c r="C198" s="5"/>
      <c r="D198" s="5"/>
      <c r="E198" s="5"/>
      <c r="F198" s="5"/>
      <c r="G198" s="5"/>
      <c r="H198" s="5"/>
      <c r="I198" s="5"/>
      <c r="J198" s="5"/>
    </row>
    <row r="199" spans="2:10">
      <c r="B199" s="5"/>
      <c r="C199" s="5"/>
      <c r="D199" s="5"/>
      <c r="E199" s="5"/>
      <c r="F199" s="5"/>
      <c r="G199" s="5"/>
      <c r="H199" s="5"/>
      <c r="I199" s="5"/>
      <c r="J199" s="5"/>
    </row>
    <row r="200" spans="2:10">
      <c r="B200" s="5"/>
      <c r="C200" s="5"/>
      <c r="D200" s="5"/>
      <c r="E200" s="5"/>
      <c r="F200" s="5"/>
      <c r="G200" s="5"/>
      <c r="H200" s="5"/>
      <c r="I200" s="5"/>
      <c r="J200" s="5"/>
    </row>
    <row r="201" spans="2:10">
      <c r="B201" s="5"/>
      <c r="C201" s="5"/>
      <c r="D201" s="5"/>
      <c r="E201" s="5"/>
      <c r="F201" s="5"/>
      <c r="G201" s="5"/>
      <c r="H201" s="5"/>
      <c r="I201" s="5"/>
      <c r="J201" s="5"/>
    </row>
    <row r="202" spans="2:10">
      <c r="B202" s="5"/>
      <c r="C202" s="5"/>
      <c r="D202" s="5"/>
      <c r="E202" s="5"/>
      <c r="F202" s="5"/>
      <c r="G202" s="5"/>
      <c r="H202" s="5"/>
      <c r="I202" s="5"/>
      <c r="J202" s="5"/>
    </row>
    <row r="203" spans="2:10">
      <c r="B203" s="5"/>
      <c r="C203" s="5"/>
      <c r="D203" s="5"/>
      <c r="E203" s="5"/>
      <c r="F203" s="5"/>
      <c r="G203" s="5"/>
      <c r="H203" s="5"/>
      <c r="I203" s="5"/>
      <c r="J203" s="5"/>
    </row>
    <row r="204" spans="2:10">
      <c r="B204" s="5"/>
      <c r="C204" s="5"/>
      <c r="D204" s="5"/>
      <c r="E204" s="5"/>
      <c r="F204" s="5"/>
      <c r="G204" s="5"/>
      <c r="H204" s="5"/>
      <c r="I204" s="5"/>
      <c r="J204" s="5"/>
    </row>
    <row r="205" spans="2:10">
      <c r="B205" s="5"/>
      <c r="C205" s="5"/>
      <c r="D205" s="5"/>
      <c r="E205" s="5"/>
      <c r="F205" s="5"/>
      <c r="G205" s="5"/>
      <c r="H205" s="5"/>
      <c r="I205" s="5"/>
      <c r="J205" s="5"/>
    </row>
    <row r="206" spans="2:10">
      <c r="B206" s="5"/>
      <c r="C206" s="5"/>
      <c r="D206" s="5"/>
      <c r="E206" s="5"/>
      <c r="F206" s="5"/>
      <c r="G206" s="5"/>
      <c r="H206" s="5"/>
      <c r="I206" s="5"/>
      <c r="J206" s="5"/>
    </row>
    <row r="207" spans="2:10">
      <c r="B207" s="5"/>
      <c r="C207" s="5"/>
      <c r="D207" s="5"/>
      <c r="E207" s="5"/>
      <c r="F207" s="5"/>
      <c r="G207" s="5"/>
      <c r="H207" s="5"/>
      <c r="I207" s="5"/>
      <c r="J207" s="5"/>
    </row>
    <row r="208" spans="2:10">
      <c r="B208" s="5"/>
      <c r="C208" s="5"/>
      <c r="D208" s="5"/>
      <c r="E208" s="5"/>
      <c r="F208" s="5"/>
      <c r="G208" s="5"/>
      <c r="H208" s="5"/>
      <c r="I208" s="5"/>
      <c r="J208" s="5"/>
    </row>
    <row r="209" spans="2:10">
      <c r="B209" s="5"/>
      <c r="C209" s="5"/>
      <c r="D209" s="5"/>
      <c r="E209" s="5"/>
      <c r="F209" s="5"/>
      <c r="G209" s="5"/>
      <c r="H209" s="5"/>
      <c r="I209" s="5"/>
      <c r="J209" s="5"/>
    </row>
    <row r="210" spans="2:10">
      <c r="B210" s="5"/>
      <c r="C210" s="5"/>
      <c r="D210" s="5"/>
      <c r="E210" s="5"/>
      <c r="F210" s="5"/>
      <c r="G210" s="5"/>
      <c r="H210" s="5"/>
      <c r="I210" s="5"/>
      <c r="J210" s="5"/>
    </row>
    <row r="211" spans="2:10">
      <c r="B211" s="5"/>
      <c r="C211" s="5"/>
      <c r="D211" s="5"/>
      <c r="E211" s="5"/>
      <c r="F211" s="5"/>
      <c r="G211" s="5"/>
      <c r="H211" s="5"/>
      <c r="I211" s="5"/>
      <c r="J211" s="5"/>
    </row>
    <row r="212" spans="2:10">
      <c r="B212" s="5"/>
      <c r="C212" s="5"/>
      <c r="D212" s="5"/>
      <c r="E212" s="5"/>
      <c r="F212" s="5"/>
      <c r="G212" s="5"/>
      <c r="H212" s="5"/>
      <c r="I212" s="5"/>
      <c r="J212" s="5"/>
    </row>
    <row r="213" spans="2:10">
      <c r="B213" s="5"/>
      <c r="C213" s="5"/>
      <c r="D213" s="5"/>
      <c r="E213" s="5"/>
      <c r="F213" s="5"/>
      <c r="G213" s="5"/>
      <c r="H213" s="5"/>
      <c r="I213" s="5"/>
      <c r="J213" s="5"/>
    </row>
    <row r="214" spans="2:10">
      <c r="B214" s="5"/>
      <c r="C214" s="5"/>
      <c r="D214" s="5"/>
      <c r="E214" s="5"/>
      <c r="F214" s="5"/>
      <c r="G214" s="5"/>
      <c r="H214" s="5"/>
      <c r="I214" s="5"/>
      <c r="J214" s="5"/>
    </row>
    <row r="215" spans="2:10">
      <c r="B215" s="5"/>
      <c r="C215" s="5"/>
      <c r="D215" s="5"/>
      <c r="E215" s="5"/>
      <c r="F215" s="5"/>
      <c r="G215" s="5"/>
      <c r="H215" s="5"/>
      <c r="I215" s="5"/>
      <c r="J215" s="5"/>
    </row>
    <row r="216" spans="2:10">
      <c r="B216" s="5"/>
      <c r="C216" s="5"/>
      <c r="D216" s="5"/>
      <c r="E216" s="5"/>
      <c r="F216" s="5"/>
      <c r="G216" s="5"/>
      <c r="H216" s="5"/>
      <c r="I216" s="5"/>
      <c r="J216" s="5"/>
    </row>
    <row r="217" spans="2:10">
      <c r="B217" s="5"/>
      <c r="C217" s="5"/>
      <c r="D217" s="5"/>
      <c r="E217" s="5"/>
      <c r="F217" s="5"/>
      <c r="G217" s="5"/>
      <c r="H217" s="5"/>
      <c r="I217" s="5"/>
      <c r="J217" s="5"/>
    </row>
    <row r="218" spans="2:10">
      <c r="B218" s="5"/>
      <c r="C218" s="5"/>
      <c r="D218" s="5"/>
      <c r="E218" s="5"/>
      <c r="F218" s="5"/>
      <c r="G218" s="5"/>
      <c r="H218" s="5"/>
      <c r="I218" s="5"/>
      <c r="J218" s="5"/>
    </row>
    <row r="219" spans="2:10">
      <c r="B219" s="5"/>
      <c r="C219" s="5"/>
      <c r="D219" s="5"/>
      <c r="E219" s="5"/>
      <c r="F219" s="5"/>
      <c r="G219" s="5"/>
      <c r="H219" s="5"/>
      <c r="I219" s="5"/>
      <c r="J219" s="5"/>
    </row>
    <row r="220" spans="2:10">
      <c r="B220" s="5"/>
      <c r="C220" s="5"/>
      <c r="D220" s="5"/>
      <c r="E220" s="5"/>
      <c r="F220" s="5"/>
      <c r="G220" s="5"/>
      <c r="H220" s="5"/>
      <c r="I220" s="5"/>
      <c r="J220" s="5"/>
    </row>
    <row r="221" spans="2:10">
      <c r="B221" s="5"/>
      <c r="C221" s="5"/>
      <c r="D221" s="5"/>
      <c r="E221" s="5"/>
      <c r="F221" s="5"/>
      <c r="G221" s="5"/>
      <c r="H221" s="5"/>
      <c r="I221" s="5"/>
      <c r="J221" s="5"/>
    </row>
    <row r="222" spans="2:10">
      <c r="B222" s="5"/>
      <c r="C222" s="5"/>
      <c r="D222" s="5"/>
      <c r="E222" s="5"/>
      <c r="F222" s="5"/>
      <c r="G222" s="5"/>
      <c r="H222" s="5"/>
      <c r="I222" s="5"/>
      <c r="J222" s="5"/>
    </row>
    <row r="223" spans="2:10">
      <c r="B223" s="5"/>
      <c r="C223" s="5"/>
      <c r="D223" s="5"/>
      <c r="E223" s="5"/>
      <c r="F223" s="5"/>
      <c r="G223" s="5"/>
      <c r="H223" s="5"/>
      <c r="I223" s="5"/>
      <c r="J223" s="5"/>
    </row>
    <row r="224" spans="2:10">
      <c r="B224" s="5"/>
      <c r="C224" s="5"/>
      <c r="D224" s="5"/>
      <c r="E224" s="5"/>
      <c r="F224" s="5"/>
      <c r="G224" s="5"/>
      <c r="H224" s="5"/>
      <c r="I224" s="5"/>
      <c r="J224" s="5"/>
    </row>
    <row r="225" spans="2:10">
      <c r="B225" s="5"/>
      <c r="C225" s="5"/>
      <c r="D225" s="5"/>
      <c r="E225" s="5"/>
      <c r="F225" s="5"/>
      <c r="G225" s="5"/>
      <c r="H225" s="5"/>
      <c r="I225" s="5"/>
      <c r="J225" s="5"/>
    </row>
    <row r="226" spans="2:10">
      <c r="B226" s="5"/>
      <c r="C226" s="5"/>
      <c r="D226" s="5"/>
      <c r="E226" s="5"/>
      <c r="F226" s="5"/>
      <c r="G226" s="5"/>
      <c r="H226" s="5"/>
      <c r="I226" s="5"/>
      <c r="J226" s="5"/>
    </row>
    <row r="227" spans="2:10">
      <c r="B227" s="5"/>
      <c r="C227" s="5"/>
      <c r="D227" s="5"/>
      <c r="E227" s="5"/>
      <c r="F227" s="5"/>
      <c r="G227" s="5"/>
      <c r="H227" s="5"/>
      <c r="I227" s="5"/>
      <c r="J227" s="5"/>
    </row>
    <row r="228" spans="2:10">
      <c r="B228" s="5"/>
      <c r="C228" s="5"/>
      <c r="D228" s="5"/>
      <c r="E228" s="5"/>
      <c r="F228" s="5"/>
      <c r="G228" s="5"/>
      <c r="H228" s="5"/>
      <c r="I228" s="5"/>
      <c r="J228" s="5"/>
    </row>
    <row r="229" spans="2:10">
      <c r="B229" s="5"/>
      <c r="C229" s="5"/>
      <c r="D229" s="5"/>
      <c r="E229" s="5"/>
      <c r="F229" s="5"/>
      <c r="G229" s="5"/>
      <c r="H229" s="5"/>
      <c r="I229" s="5"/>
      <c r="J229" s="5"/>
    </row>
    <row r="230" spans="2:10">
      <c r="B230" s="5"/>
      <c r="C230" s="5"/>
      <c r="D230" s="5"/>
      <c r="E230" s="5"/>
      <c r="F230" s="5"/>
      <c r="G230" s="5"/>
      <c r="H230" s="5"/>
      <c r="I230" s="5"/>
      <c r="J230" s="5"/>
    </row>
    <row r="231" spans="2:10">
      <c r="B231" s="5"/>
      <c r="C231" s="5"/>
      <c r="D231" s="5"/>
      <c r="E231" s="5"/>
      <c r="F231" s="5"/>
      <c r="G231" s="5"/>
      <c r="H231" s="5"/>
      <c r="I231" s="5"/>
      <c r="J231" s="5"/>
    </row>
    <row r="232" spans="2:10">
      <c r="B232" s="5"/>
      <c r="C232" s="5"/>
      <c r="D232" s="5"/>
      <c r="E232" s="5"/>
      <c r="F232" s="5"/>
      <c r="G232" s="5"/>
      <c r="H232" s="5"/>
      <c r="I232" s="5"/>
      <c r="J232" s="5"/>
    </row>
    <row r="233" spans="2:10">
      <c r="B233" s="5"/>
      <c r="C233" s="5"/>
      <c r="D233" s="5"/>
      <c r="E233" s="5"/>
      <c r="F233" s="5"/>
      <c r="G233" s="5"/>
      <c r="H233" s="5"/>
      <c r="I233" s="5"/>
      <c r="J233" s="5"/>
    </row>
    <row r="234" spans="2:10">
      <c r="B234" s="5"/>
      <c r="C234" s="5"/>
      <c r="D234" s="5"/>
      <c r="E234" s="5"/>
      <c r="F234" s="5"/>
      <c r="G234" s="5"/>
      <c r="H234" s="5"/>
      <c r="I234" s="5"/>
      <c r="J234" s="5"/>
    </row>
    <row r="235" spans="2:10">
      <c r="B235" s="5"/>
      <c r="C235" s="5"/>
      <c r="D235" s="5"/>
      <c r="E235" s="5"/>
      <c r="F235" s="5"/>
      <c r="G235" s="5"/>
      <c r="H235" s="5"/>
      <c r="I235" s="5"/>
      <c r="J235" s="5"/>
    </row>
    <row r="236" spans="2:10">
      <c r="B236" s="5"/>
      <c r="C236" s="5"/>
      <c r="D236" s="5"/>
      <c r="E236" s="5"/>
      <c r="F236" s="5"/>
      <c r="G236" s="5"/>
      <c r="H236" s="5"/>
      <c r="I236" s="5"/>
      <c r="J236" s="5"/>
    </row>
    <row r="237" spans="2:10">
      <c r="B237" s="5"/>
      <c r="C237" s="5"/>
      <c r="D237" s="5"/>
      <c r="E237" s="5"/>
      <c r="F237" s="5"/>
      <c r="G237" s="5"/>
      <c r="H237" s="5"/>
      <c r="I237" s="5"/>
      <c r="J237" s="5"/>
    </row>
    <row r="238" spans="2:10">
      <c r="B238" s="5"/>
      <c r="C238" s="5"/>
      <c r="D238" s="5"/>
      <c r="E238" s="5"/>
      <c r="F238" s="5"/>
      <c r="G238" s="5"/>
      <c r="H238" s="5"/>
      <c r="I238" s="5"/>
      <c r="J238" s="5"/>
    </row>
    <row r="239" spans="2:10">
      <c r="B239" s="5"/>
      <c r="C239" s="5"/>
      <c r="D239" s="5"/>
      <c r="E239" s="5"/>
      <c r="F239" s="5"/>
      <c r="G239" s="5"/>
      <c r="H239" s="5"/>
      <c r="I239" s="5"/>
      <c r="J239" s="5"/>
    </row>
    <row r="240" spans="2:10">
      <c r="B240" s="5"/>
      <c r="C240" s="5"/>
      <c r="D240" s="5"/>
      <c r="E240" s="5"/>
      <c r="F240" s="5"/>
      <c r="G240" s="5"/>
      <c r="H240" s="5"/>
      <c r="I240" s="5"/>
      <c r="J240" s="5"/>
    </row>
    <row r="241" spans="2:10">
      <c r="B241" s="5"/>
      <c r="C241" s="5"/>
      <c r="D241" s="5"/>
      <c r="E241" s="5"/>
      <c r="F241" s="5"/>
      <c r="G241" s="5"/>
      <c r="H241" s="5"/>
      <c r="I241" s="5"/>
      <c r="J241" s="5"/>
    </row>
    <row r="242" spans="2:10">
      <c r="B242" s="5"/>
      <c r="C242" s="5"/>
      <c r="D242" s="5"/>
      <c r="E242" s="5"/>
      <c r="F242" s="5"/>
      <c r="G242" s="5"/>
      <c r="H242" s="5"/>
      <c r="I242" s="5"/>
      <c r="J242" s="5"/>
    </row>
    <row r="243" spans="2:10">
      <c r="B243" s="5"/>
      <c r="C243" s="5"/>
      <c r="D243" s="5"/>
      <c r="E243" s="5"/>
      <c r="F243" s="5"/>
      <c r="G243" s="5"/>
      <c r="H243" s="5"/>
      <c r="I243" s="5"/>
      <c r="J243" s="5"/>
    </row>
    <row r="244" spans="2:10">
      <c r="B244" s="5"/>
      <c r="C244" s="5"/>
      <c r="D244" s="5"/>
      <c r="E244" s="5"/>
      <c r="F244" s="5"/>
      <c r="G244" s="5"/>
      <c r="H244" s="5"/>
      <c r="I244" s="5"/>
      <c r="J244" s="5"/>
    </row>
    <row r="245" spans="2:10">
      <c r="B245" s="5"/>
      <c r="C245" s="5"/>
      <c r="D245" s="5"/>
      <c r="E245" s="5"/>
      <c r="F245" s="5"/>
      <c r="G245" s="5"/>
      <c r="H245" s="5"/>
      <c r="I245" s="5"/>
      <c r="J245" s="5"/>
    </row>
    <row r="246" spans="2:10">
      <c r="B246" s="5"/>
      <c r="C246" s="5"/>
      <c r="D246" s="5"/>
      <c r="E246" s="5"/>
      <c r="F246" s="5"/>
      <c r="G246" s="5"/>
      <c r="H246" s="5"/>
      <c r="I246" s="5"/>
      <c r="J246" s="5"/>
    </row>
    <row r="247" spans="2:10">
      <c r="B247" s="5"/>
      <c r="C247" s="5"/>
      <c r="D247" s="5"/>
      <c r="E247" s="5"/>
      <c r="F247" s="5"/>
      <c r="G247" s="5"/>
      <c r="H247" s="5"/>
      <c r="I247" s="5"/>
      <c r="J247" s="5"/>
    </row>
    <row r="248" spans="2:10">
      <c r="B248" s="5"/>
      <c r="C248" s="5"/>
      <c r="D248" s="5"/>
      <c r="E248" s="5"/>
      <c r="F248" s="5"/>
      <c r="G248" s="5"/>
      <c r="H248" s="5"/>
      <c r="I248" s="5"/>
      <c r="J248" s="5"/>
    </row>
    <row r="249" spans="2:10">
      <c r="B249" s="5"/>
      <c r="C249" s="5"/>
      <c r="D249" s="5"/>
      <c r="E249" s="5"/>
      <c r="F249" s="5"/>
      <c r="G249" s="5"/>
      <c r="H249" s="5"/>
      <c r="I249" s="5"/>
      <c r="J249" s="5"/>
    </row>
    <row r="250" spans="2:10">
      <c r="B250" s="5"/>
      <c r="C250" s="5"/>
      <c r="D250" s="5"/>
      <c r="E250" s="5"/>
      <c r="F250" s="5"/>
      <c r="G250" s="5"/>
      <c r="H250" s="5"/>
      <c r="I250" s="5"/>
      <c r="J250" s="5"/>
    </row>
    <row r="251" spans="2:10">
      <c r="B251" s="5"/>
      <c r="C251" s="5"/>
      <c r="D251" s="5"/>
      <c r="E251" s="5"/>
      <c r="F251" s="5"/>
      <c r="G251" s="5"/>
      <c r="H251" s="5"/>
      <c r="I251" s="5"/>
      <c r="J251" s="5"/>
    </row>
    <row r="252" spans="2:10">
      <c r="B252" s="5"/>
      <c r="C252" s="5"/>
      <c r="D252" s="5"/>
      <c r="E252" s="5"/>
      <c r="F252" s="5"/>
      <c r="G252" s="5"/>
      <c r="H252" s="5"/>
      <c r="I252" s="5"/>
      <c r="J252" s="5"/>
    </row>
    <row r="253" spans="2:10">
      <c r="B253" s="5"/>
      <c r="C253" s="5"/>
      <c r="D253" s="5"/>
      <c r="E253" s="5"/>
      <c r="F253" s="5"/>
      <c r="G253" s="5"/>
      <c r="H253" s="5"/>
      <c r="I253" s="5"/>
      <c r="J253" s="5"/>
    </row>
    <row r="254" spans="2:10">
      <c r="B254" s="5"/>
      <c r="C254" s="5"/>
      <c r="D254" s="5"/>
      <c r="E254" s="5"/>
      <c r="F254" s="5"/>
      <c r="G254" s="5"/>
      <c r="H254" s="5"/>
      <c r="I254" s="5"/>
      <c r="J254" s="5"/>
    </row>
    <row r="255" spans="2:10">
      <c r="B255" s="5"/>
      <c r="C255" s="5"/>
      <c r="D255" s="5"/>
      <c r="E255" s="5"/>
      <c r="F255" s="5"/>
      <c r="G255" s="5"/>
      <c r="H255" s="5"/>
      <c r="I255" s="5"/>
      <c r="J255" s="5"/>
    </row>
    <row r="256" spans="2:10">
      <c r="B256" s="5"/>
      <c r="C256" s="5"/>
      <c r="D256" s="5"/>
      <c r="E256" s="5"/>
      <c r="F256" s="5"/>
      <c r="G256" s="5"/>
      <c r="H256" s="5"/>
      <c r="I256" s="5"/>
      <c r="J256" s="5"/>
    </row>
    <row r="257" spans="2:10">
      <c r="B257" s="5"/>
      <c r="C257" s="5"/>
      <c r="D257" s="5"/>
      <c r="E257" s="5"/>
      <c r="F257" s="5"/>
      <c r="G257" s="5"/>
      <c r="H257" s="5"/>
      <c r="I257" s="5"/>
      <c r="J257" s="5"/>
    </row>
    <row r="258" spans="2:10">
      <c r="B258" s="5"/>
      <c r="C258" s="5"/>
      <c r="D258" s="5"/>
      <c r="E258" s="5"/>
      <c r="F258" s="5"/>
      <c r="G258" s="5"/>
      <c r="H258" s="5"/>
      <c r="I258" s="5"/>
      <c r="J258" s="5"/>
    </row>
    <row r="259" spans="2:10">
      <c r="B259" s="5"/>
      <c r="C259" s="5"/>
      <c r="D259" s="5"/>
      <c r="E259" s="5"/>
      <c r="F259" s="5"/>
      <c r="G259" s="5"/>
      <c r="H259" s="5"/>
      <c r="I259" s="5"/>
      <c r="J259" s="5"/>
    </row>
    <row r="260" spans="2:10">
      <c r="B260" s="5"/>
      <c r="C260" s="5"/>
      <c r="D260" s="5"/>
      <c r="E260" s="5"/>
      <c r="F260" s="5"/>
      <c r="G260" s="5"/>
      <c r="H260" s="5"/>
      <c r="I260" s="5"/>
      <c r="J260" s="5"/>
    </row>
    <row r="261" spans="2:10">
      <c r="B261" s="5"/>
      <c r="C261" s="5"/>
      <c r="D261" s="5"/>
      <c r="E261" s="5"/>
      <c r="F261" s="5"/>
      <c r="G261" s="5"/>
      <c r="H261" s="5"/>
      <c r="I261" s="5"/>
      <c r="J261" s="5"/>
    </row>
    <row r="262" spans="2:10">
      <c r="B262" s="5"/>
      <c r="C262" s="5"/>
      <c r="D262" s="5"/>
      <c r="E262" s="5"/>
      <c r="F262" s="5"/>
      <c r="G262" s="5"/>
      <c r="H262" s="5"/>
      <c r="I262" s="5"/>
      <c r="J262" s="5"/>
    </row>
    <row r="263" spans="2:10">
      <c r="B263" s="5"/>
      <c r="C263" s="5"/>
      <c r="D263" s="5"/>
      <c r="E263" s="5"/>
      <c r="F263" s="5"/>
      <c r="G263" s="5"/>
      <c r="H263" s="5"/>
      <c r="I263" s="5"/>
      <c r="J263" s="5"/>
    </row>
    <row r="264" spans="2:10">
      <c r="B264" s="5"/>
      <c r="C264" s="5"/>
      <c r="D264" s="5"/>
      <c r="E264" s="5"/>
      <c r="F264" s="5"/>
      <c r="G264" s="5"/>
      <c r="H264" s="5"/>
      <c r="I264" s="5"/>
      <c r="J264" s="5"/>
    </row>
    <row r="265" spans="2:10">
      <c r="B265" s="5"/>
      <c r="C265" s="5"/>
      <c r="D265" s="5"/>
      <c r="E265" s="5"/>
      <c r="F265" s="5"/>
      <c r="G265" s="5"/>
      <c r="H265" s="5"/>
      <c r="I265" s="5"/>
      <c r="J265" s="5"/>
    </row>
    <row r="266" spans="2:10">
      <c r="B266" s="5"/>
      <c r="C266" s="5"/>
      <c r="D266" s="5"/>
      <c r="E266" s="5"/>
      <c r="F266" s="5"/>
      <c r="G266" s="5"/>
      <c r="H266" s="5"/>
      <c r="I266" s="5"/>
      <c r="J266" s="5"/>
    </row>
    <row r="267" spans="2:10">
      <c r="B267" s="5"/>
      <c r="C267" s="5"/>
      <c r="D267" s="5"/>
      <c r="E267" s="5"/>
      <c r="F267" s="5"/>
      <c r="G267" s="5"/>
      <c r="H267" s="5"/>
      <c r="I267" s="5"/>
      <c r="J267" s="5"/>
    </row>
    <row r="268" spans="2:10">
      <c r="B268" s="5"/>
      <c r="C268" s="5"/>
      <c r="D268" s="5"/>
      <c r="E268" s="5"/>
      <c r="F268" s="5"/>
      <c r="G268" s="5"/>
      <c r="H268" s="5"/>
      <c r="I268" s="5"/>
      <c r="J268" s="5"/>
    </row>
    <row r="269" spans="2:10">
      <c r="B269" s="5"/>
      <c r="C269" s="5"/>
      <c r="D269" s="5"/>
      <c r="E269" s="5"/>
      <c r="F269" s="5"/>
      <c r="G269" s="5"/>
      <c r="H269" s="5"/>
      <c r="I269" s="5"/>
      <c r="J269" s="5"/>
    </row>
    <row r="270" spans="2:10">
      <c r="B270" s="5"/>
      <c r="C270" s="5"/>
      <c r="D270" s="5"/>
      <c r="E270" s="5"/>
      <c r="F270" s="5"/>
      <c r="G270" s="5"/>
      <c r="H270" s="5"/>
      <c r="I270" s="5"/>
      <c r="J270" s="5"/>
    </row>
    <row r="271" spans="2:10">
      <c r="B271" s="5"/>
      <c r="C271" s="5"/>
      <c r="D271" s="5"/>
      <c r="E271" s="5"/>
      <c r="F271" s="5"/>
      <c r="G271" s="5"/>
      <c r="H271" s="5"/>
      <c r="I271" s="5"/>
      <c r="J271" s="5"/>
    </row>
    <row r="272" spans="2:10">
      <c r="B272" s="5"/>
      <c r="C272" s="5"/>
      <c r="D272" s="5"/>
      <c r="E272" s="5"/>
      <c r="F272" s="5"/>
      <c r="G272" s="5"/>
      <c r="H272" s="5"/>
      <c r="I272" s="5"/>
      <c r="J272" s="5"/>
    </row>
    <row r="273" spans="2:10">
      <c r="B273" s="5"/>
      <c r="C273" s="5"/>
      <c r="D273" s="5"/>
      <c r="E273" s="5"/>
      <c r="F273" s="5"/>
      <c r="G273" s="5"/>
      <c r="H273" s="5"/>
      <c r="I273" s="5"/>
      <c r="J273" s="5"/>
    </row>
    <row r="274" spans="2:10">
      <c r="B274" s="5"/>
      <c r="C274" s="5"/>
      <c r="D274" s="5"/>
      <c r="E274" s="5"/>
      <c r="F274" s="5"/>
      <c r="G274" s="5"/>
      <c r="H274" s="5"/>
      <c r="I274" s="5"/>
      <c r="J274" s="5"/>
    </row>
    <row r="275" spans="2:10">
      <c r="B275" s="5"/>
      <c r="C275" s="5"/>
      <c r="D275" s="5"/>
      <c r="E275" s="5"/>
      <c r="F275" s="5"/>
      <c r="G275" s="5"/>
      <c r="H275" s="5"/>
      <c r="I275" s="5"/>
      <c r="J275" s="5"/>
    </row>
    <row r="276" spans="2:10">
      <c r="B276" s="5"/>
      <c r="C276" s="5"/>
      <c r="D276" s="5"/>
      <c r="E276" s="5"/>
      <c r="F276" s="5"/>
      <c r="G276" s="5"/>
      <c r="H276" s="5"/>
      <c r="I276" s="5"/>
      <c r="J276" s="5"/>
    </row>
    <row r="277" spans="2:10">
      <c r="B277" s="5"/>
      <c r="C277" s="5"/>
      <c r="D277" s="5"/>
      <c r="E277" s="5"/>
      <c r="F277" s="5"/>
      <c r="G277" s="5"/>
      <c r="H277" s="5"/>
      <c r="I277" s="5"/>
      <c r="J277" s="5"/>
    </row>
    <row r="278" spans="2:10">
      <c r="B278" s="5"/>
      <c r="C278" s="5"/>
      <c r="D278" s="5"/>
      <c r="E278" s="5"/>
      <c r="F278" s="5"/>
      <c r="G278" s="5"/>
      <c r="H278" s="5"/>
      <c r="I278" s="5"/>
      <c r="J278" s="5"/>
    </row>
    <row r="279" spans="2:10">
      <c r="B279" s="5"/>
      <c r="C279" s="5"/>
      <c r="D279" s="5"/>
      <c r="E279" s="5"/>
      <c r="F279" s="5"/>
      <c r="G279" s="5"/>
      <c r="H279" s="5"/>
      <c r="I279" s="5"/>
      <c r="J279" s="5"/>
    </row>
    <row r="280" spans="2:10">
      <c r="B280" s="5"/>
      <c r="C280" s="5"/>
      <c r="D280" s="5"/>
      <c r="E280" s="5"/>
      <c r="F280" s="5"/>
      <c r="G280" s="5"/>
      <c r="H280" s="5"/>
      <c r="I280" s="5"/>
      <c r="J280" s="5"/>
    </row>
    <row r="281" spans="2:10">
      <c r="B281" s="5"/>
      <c r="C281" s="5"/>
      <c r="D281" s="5"/>
      <c r="E281" s="5"/>
      <c r="F281" s="5"/>
      <c r="G281" s="5"/>
      <c r="H281" s="5"/>
      <c r="I281" s="5"/>
      <c r="J281" s="5"/>
    </row>
    <row r="282" spans="2:10">
      <c r="B282" s="5"/>
      <c r="C282" s="5"/>
      <c r="D282" s="5"/>
      <c r="E282" s="5"/>
      <c r="F282" s="5"/>
      <c r="G282" s="5"/>
      <c r="H282" s="5"/>
      <c r="I282" s="5"/>
      <c r="J282" s="5"/>
    </row>
    <row r="283" spans="2:10">
      <c r="B283" s="5"/>
      <c r="C283" s="5"/>
      <c r="D283" s="5"/>
      <c r="E283" s="5"/>
      <c r="F283" s="5"/>
      <c r="G283" s="5"/>
      <c r="H283" s="5"/>
      <c r="I283" s="5"/>
      <c r="J283" s="5"/>
    </row>
    <row r="284" spans="2:10">
      <c r="B284" s="5"/>
      <c r="C284" s="5"/>
      <c r="D284" s="5"/>
      <c r="E284" s="5"/>
      <c r="F284" s="5"/>
      <c r="G284" s="5"/>
      <c r="H284" s="5"/>
      <c r="I284" s="5"/>
      <c r="J284" s="5"/>
    </row>
    <row r="285" spans="2:10">
      <c r="B285" s="5"/>
      <c r="C285" s="5"/>
      <c r="D285" s="5"/>
      <c r="E285" s="5"/>
      <c r="F285" s="5"/>
      <c r="G285" s="5"/>
      <c r="H285" s="5"/>
      <c r="I285" s="5"/>
      <c r="J285" s="5"/>
    </row>
    <row r="286" spans="2:10">
      <c r="B286" s="5"/>
      <c r="C286" s="5"/>
      <c r="D286" s="5"/>
      <c r="E286" s="5"/>
      <c r="F286" s="5"/>
      <c r="G286" s="5"/>
      <c r="H286" s="5"/>
      <c r="I286" s="5"/>
      <c r="J286" s="5"/>
    </row>
    <row r="287" spans="2:10">
      <c r="B287" s="5"/>
      <c r="C287" s="5"/>
      <c r="D287" s="5"/>
      <c r="E287" s="5"/>
      <c r="F287" s="5"/>
      <c r="G287" s="5"/>
      <c r="H287" s="5"/>
      <c r="I287" s="5"/>
      <c r="J287" s="5"/>
    </row>
    <row r="288" spans="2:10">
      <c r="B288" s="5"/>
      <c r="C288" s="5"/>
      <c r="D288" s="5"/>
      <c r="E288" s="5"/>
      <c r="F288" s="5"/>
      <c r="G288" s="5"/>
      <c r="H288" s="5"/>
      <c r="I288" s="5"/>
      <c r="J288" s="5"/>
    </row>
    <row r="289" spans="2:10">
      <c r="B289" s="5"/>
      <c r="C289" s="5"/>
      <c r="D289" s="5"/>
      <c r="E289" s="5"/>
      <c r="F289" s="5"/>
      <c r="G289" s="5"/>
      <c r="H289" s="5"/>
      <c r="I289" s="5"/>
      <c r="J289" s="5"/>
    </row>
    <row r="290" spans="2:10">
      <c r="B290" s="5"/>
      <c r="C290" s="5"/>
      <c r="D290" s="5"/>
      <c r="E290" s="5"/>
      <c r="F290" s="5"/>
      <c r="G290" s="5"/>
      <c r="H290" s="5"/>
      <c r="I290" s="5"/>
      <c r="J290" s="5"/>
    </row>
    <row r="291" spans="2:10">
      <c r="B291" s="5"/>
      <c r="C291" s="5"/>
      <c r="D291" s="5"/>
      <c r="E291" s="5"/>
      <c r="F291" s="5"/>
      <c r="G291" s="5"/>
      <c r="H291" s="5"/>
      <c r="I291" s="5"/>
      <c r="J291" s="5"/>
    </row>
    <row r="292" spans="2:10">
      <c r="B292" s="5"/>
      <c r="C292" s="5"/>
      <c r="D292" s="5"/>
      <c r="E292" s="5"/>
      <c r="F292" s="5"/>
      <c r="G292" s="5"/>
      <c r="H292" s="5"/>
      <c r="I292" s="5"/>
      <c r="J292" s="5"/>
    </row>
    <row r="293" spans="2:10">
      <c r="B293" s="5"/>
      <c r="C293" s="5"/>
      <c r="D293" s="5"/>
      <c r="E293" s="5"/>
      <c r="F293" s="5"/>
      <c r="G293" s="5"/>
      <c r="H293" s="5"/>
      <c r="I293" s="5"/>
      <c r="J293" s="5"/>
    </row>
    <row r="294" spans="2:10">
      <c r="B294" s="5"/>
      <c r="C294" s="5"/>
      <c r="D294" s="5"/>
      <c r="E294" s="5"/>
      <c r="F294" s="5"/>
      <c r="G294" s="5"/>
      <c r="H294" s="5"/>
      <c r="I294" s="5"/>
      <c r="J294" s="5"/>
    </row>
    <row r="295" spans="2:10">
      <c r="B295" s="5"/>
      <c r="C295" s="5"/>
      <c r="D295" s="5"/>
      <c r="E295" s="5"/>
      <c r="F295" s="5"/>
      <c r="G295" s="5"/>
      <c r="H295" s="5"/>
      <c r="I295" s="5"/>
      <c r="J295" s="5"/>
    </row>
    <row r="296" spans="2:10">
      <c r="B296" s="5"/>
      <c r="C296" s="5"/>
      <c r="D296" s="5"/>
      <c r="E296" s="5"/>
      <c r="F296" s="5"/>
      <c r="G296" s="5"/>
      <c r="H296" s="5"/>
      <c r="I296" s="5"/>
      <c r="J296" s="5"/>
    </row>
    <row r="297" spans="2:10">
      <c r="B297" s="5"/>
      <c r="C297" s="5"/>
      <c r="D297" s="5"/>
      <c r="E297" s="5"/>
      <c r="F297" s="5"/>
      <c r="G297" s="5"/>
      <c r="H297" s="5"/>
      <c r="I297" s="5"/>
      <c r="J297" s="5"/>
    </row>
    <row r="298" spans="2:10">
      <c r="B298" s="5"/>
      <c r="C298" s="5"/>
      <c r="D298" s="5"/>
      <c r="E298" s="5"/>
      <c r="F298" s="5"/>
      <c r="G298" s="5"/>
      <c r="H298" s="5"/>
      <c r="I298" s="5"/>
      <c r="J298" s="5"/>
    </row>
    <row r="299" spans="2:10">
      <c r="B299" s="5"/>
      <c r="C299" s="5"/>
      <c r="D299" s="5"/>
      <c r="E299" s="5"/>
      <c r="F299" s="5"/>
      <c r="G299" s="5"/>
      <c r="H299" s="5"/>
      <c r="I299" s="5"/>
      <c r="J299" s="5"/>
    </row>
    <row r="300" spans="2:10">
      <c r="B300" s="5"/>
      <c r="C300" s="5"/>
      <c r="D300" s="5"/>
      <c r="E300" s="5"/>
      <c r="F300" s="5"/>
      <c r="G300" s="5"/>
      <c r="H300" s="5"/>
      <c r="I300" s="5"/>
      <c r="J300" s="5"/>
    </row>
    <row r="301" spans="2:10">
      <c r="B301" s="5"/>
      <c r="C301" s="5"/>
      <c r="D301" s="5"/>
      <c r="E301" s="5"/>
      <c r="F301" s="5"/>
      <c r="G301" s="5"/>
      <c r="H301" s="5"/>
      <c r="I301" s="5"/>
      <c r="J301" s="5"/>
    </row>
    <row r="302" spans="2:10">
      <c r="B302" s="5"/>
      <c r="C302" s="5"/>
      <c r="D302" s="5"/>
      <c r="E302" s="5"/>
      <c r="F302" s="5"/>
      <c r="G302" s="5"/>
      <c r="H302" s="5"/>
      <c r="I302" s="5"/>
      <c r="J302" s="5"/>
    </row>
    <row r="303" spans="2:10">
      <c r="B303" s="5"/>
      <c r="C303" s="5"/>
      <c r="D303" s="5"/>
      <c r="E303" s="5"/>
      <c r="F303" s="5"/>
      <c r="G303" s="5"/>
      <c r="H303" s="5"/>
      <c r="I303" s="5"/>
      <c r="J303" s="5"/>
    </row>
    <row r="304" spans="2:10">
      <c r="B304" s="5"/>
      <c r="C304" s="5"/>
      <c r="D304" s="5"/>
      <c r="E304" s="5"/>
      <c r="F304" s="5"/>
      <c r="G304" s="5"/>
      <c r="H304" s="5"/>
      <c r="I304" s="5"/>
      <c r="J304" s="5"/>
    </row>
    <row r="305" spans="2:10">
      <c r="B305" s="5"/>
      <c r="C305" s="5"/>
      <c r="D305" s="5"/>
      <c r="E305" s="5"/>
      <c r="F305" s="5"/>
      <c r="G305" s="5"/>
      <c r="H305" s="5"/>
      <c r="I305" s="5"/>
      <c r="J305" s="5"/>
    </row>
    <row r="306" spans="2:10">
      <c r="B306" s="5"/>
      <c r="C306" s="5"/>
      <c r="D306" s="5"/>
      <c r="E306" s="5"/>
      <c r="F306" s="5"/>
      <c r="G306" s="5"/>
      <c r="H306" s="5"/>
      <c r="I306" s="5"/>
      <c r="J306" s="5"/>
    </row>
    <row r="307" spans="2:10">
      <c r="B307" s="5"/>
      <c r="C307" s="5"/>
      <c r="D307" s="5"/>
      <c r="E307" s="5"/>
      <c r="F307" s="5"/>
      <c r="G307" s="5"/>
      <c r="H307" s="5"/>
      <c r="I307" s="5"/>
      <c r="J307" s="5"/>
    </row>
    <row r="308" spans="2:10">
      <c r="B308" s="5"/>
      <c r="C308" s="5"/>
      <c r="D308" s="5"/>
      <c r="E308" s="5"/>
      <c r="F308" s="5"/>
      <c r="G308" s="5"/>
      <c r="H308" s="5"/>
      <c r="I308" s="5"/>
      <c r="J308" s="5"/>
    </row>
    <row r="309" spans="2:10">
      <c r="B309" s="5"/>
      <c r="C309" s="5"/>
      <c r="D309" s="5"/>
      <c r="E309" s="5"/>
      <c r="F309" s="5"/>
      <c r="G309" s="5"/>
      <c r="H309" s="5"/>
      <c r="I309" s="5"/>
      <c r="J309" s="5"/>
    </row>
    <row r="310" spans="2:10">
      <c r="B310" s="5"/>
      <c r="C310" s="5"/>
      <c r="D310" s="5"/>
      <c r="E310" s="5"/>
      <c r="F310" s="5"/>
      <c r="G310" s="5"/>
      <c r="H310" s="5"/>
      <c r="I310" s="5"/>
      <c r="J310" s="5"/>
    </row>
    <row r="311" spans="2:10">
      <c r="B311" s="5"/>
      <c r="C311" s="5"/>
      <c r="D311" s="5"/>
      <c r="E311" s="5"/>
      <c r="F311" s="5"/>
      <c r="G311" s="5"/>
      <c r="H311" s="5"/>
      <c r="I311" s="5"/>
      <c r="J311" s="5"/>
    </row>
    <row r="312" spans="2:10">
      <c r="B312" s="5"/>
      <c r="C312" s="5"/>
      <c r="D312" s="5"/>
      <c r="E312" s="5"/>
      <c r="F312" s="5"/>
      <c r="G312" s="5"/>
      <c r="H312" s="5"/>
      <c r="I312" s="5"/>
      <c r="J312" s="5"/>
    </row>
    <row r="313" spans="2:10">
      <c r="B313" s="5"/>
      <c r="C313" s="5"/>
      <c r="D313" s="5"/>
      <c r="E313" s="5"/>
      <c r="F313" s="5"/>
      <c r="G313" s="5"/>
      <c r="H313" s="5"/>
      <c r="I313" s="5"/>
      <c r="J313" s="5"/>
    </row>
    <row r="314" spans="2:10">
      <c r="B314" s="5"/>
      <c r="C314" s="5"/>
      <c r="D314" s="5"/>
      <c r="E314" s="5"/>
      <c r="F314" s="5"/>
      <c r="G314" s="5"/>
      <c r="H314" s="5"/>
      <c r="I314" s="5"/>
      <c r="J314" s="5"/>
    </row>
    <row r="315" spans="2:10">
      <c r="B315" s="5"/>
      <c r="C315" s="5"/>
      <c r="D315" s="5"/>
      <c r="E315" s="5"/>
      <c r="F315" s="5"/>
      <c r="G315" s="5"/>
      <c r="H315" s="5"/>
      <c r="I315" s="5"/>
      <c r="J315" s="5"/>
    </row>
    <row r="316" spans="2:10">
      <c r="B316" s="5"/>
      <c r="C316" s="5"/>
      <c r="D316" s="5"/>
      <c r="E316" s="5"/>
      <c r="F316" s="5"/>
      <c r="G316" s="5"/>
      <c r="H316" s="5"/>
      <c r="I316" s="5"/>
      <c r="J316" s="5"/>
    </row>
    <row r="317" spans="2:10">
      <c r="B317" s="5"/>
      <c r="C317" s="5"/>
      <c r="D317" s="5"/>
      <c r="E317" s="5"/>
      <c r="F317" s="5"/>
      <c r="G317" s="5"/>
      <c r="H317" s="5"/>
      <c r="I317" s="5"/>
      <c r="J317" s="5"/>
    </row>
    <row r="318" spans="2:10">
      <c r="B318" s="5"/>
      <c r="C318" s="5"/>
      <c r="D318" s="5"/>
      <c r="E318" s="5"/>
      <c r="F318" s="5"/>
      <c r="G318" s="5"/>
      <c r="H318" s="5"/>
      <c r="I318" s="5"/>
      <c r="J318" s="5"/>
    </row>
    <row r="319" spans="2:10">
      <c r="B319" s="5"/>
      <c r="C319" s="5"/>
      <c r="D319" s="5"/>
      <c r="E319" s="5"/>
      <c r="F319" s="5"/>
      <c r="G319" s="5"/>
      <c r="H319" s="5"/>
      <c r="I319" s="5"/>
      <c r="J319" s="5"/>
    </row>
    <row r="320" spans="2:10">
      <c r="B320" s="5"/>
      <c r="C320" s="5"/>
      <c r="D320" s="5"/>
      <c r="E320" s="5"/>
      <c r="F320" s="5"/>
      <c r="G320" s="5"/>
      <c r="H320" s="5"/>
      <c r="I320" s="5"/>
      <c r="J320" s="5"/>
    </row>
    <row r="321" spans="2:10">
      <c r="B321" s="5"/>
      <c r="C321" s="5"/>
      <c r="D321" s="5"/>
      <c r="E321" s="5"/>
      <c r="F321" s="5"/>
      <c r="G321" s="5"/>
      <c r="H321" s="5"/>
      <c r="I321" s="5"/>
      <c r="J321" s="5"/>
    </row>
    <row r="322" spans="2:10">
      <c r="B322" s="5"/>
      <c r="C322" s="5"/>
      <c r="D322" s="5"/>
      <c r="E322" s="5"/>
      <c r="F322" s="5"/>
      <c r="G322" s="5"/>
      <c r="H322" s="5"/>
      <c r="I322" s="5"/>
      <c r="J322" s="5"/>
    </row>
    <row r="323" spans="2:10">
      <c r="B323" s="5"/>
      <c r="C323" s="5"/>
      <c r="D323" s="5"/>
      <c r="E323" s="5"/>
      <c r="F323" s="5"/>
      <c r="G323" s="5"/>
      <c r="H323" s="5"/>
      <c r="I323" s="5"/>
      <c r="J323" s="5"/>
    </row>
    <row r="324" spans="2:10">
      <c r="B324" s="5"/>
      <c r="C324" s="5"/>
      <c r="D324" s="5"/>
      <c r="E324" s="5"/>
      <c r="F324" s="5"/>
      <c r="G324" s="5"/>
      <c r="H324" s="5"/>
      <c r="I324" s="5"/>
      <c r="J324" s="5"/>
    </row>
    <row r="325" spans="2:10">
      <c r="B325" s="5"/>
      <c r="C325" s="5"/>
      <c r="D325" s="5"/>
      <c r="E325" s="5"/>
      <c r="F325" s="5"/>
      <c r="G325" s="5"/>
      <c r="H325" s="5"/>
      <c r="I325" s="5"/>
      <c r="J325" s="5"/>
    </row>
    <row r="326" spans="2:10">
      <c r="B326" s="5"/>
      <c r="C326" s="5"/>
      <c r="D326" s="5"/>
      <c r="E326" s="5"/>
      <c r="F326" s="5"/>
      <c r="G326" s="5"/>
      <c r="H326" s="5"/>
      <c r="I326" s="5"/>
      <c r="J326" s="5"/>
    </row>
    <row r="327" spans="2:10">
      <c r="B327" s="5"/>
      <c r="C327" s="5"/>
      <c r="D327" s="5"/>
      <c r="E327" s="5"/>
      <c r="F327" s="5"/>
      <c r="G327" s="5"/>
      <c r="H327" s="5"/>
      <c r="I327" s="5"/>
      <c r="J327" s="5"/>
    </row>
    <row r="328" spans="2:10">
      <c r="B328" s="5"/>
      <c r="C328" s="5"/>
      <c r="D328" s="5"/>
      <c r="E328" s="5"/>
      <c r="F328" s="5"/>
      <c r="G328" s="5"/>
      <c r="H328" s="5"/>
      <c r="I328" s="5"/>
      <c r="J328" s="5"/>
    </row>
    <row r="329" spans="2:10">
      <c r="B329" s="5"/>
      <c r="C329" s="5"/>
      <c r="D329" s="5"/>
      <c r="E329" s="5"/>
      <c r="F329" s="5"/>
      <c r="G329" s="5"/>
      <c r="H329" s="5"/>
      <c r="I329" s="5"/>
      <c r="J329" s="5"/>
    </row>
    <row r="330" spans="2:10">
      <c r="B330" s="5"/>
      <c r="C330" s="5"/>
      <c r="D330" s="5"/>
      <c r="E330" s="5"/>
      <c r="F330" s="5"/>
      <c r="G330" s="5"/>
      <c r="H330" s="5"/>
      <c r="I330" s="5"/>
      <c r="J330" s="5"/>
    </row>
    <row r="331" spans="2:10">
      <c r="B331" s="5"/>
      <c r="C331" s="5"/>
      <c r="D331" s="5"/>
      <c r="E331" s="5"/>
      <c r="F331" s="5"/>
      <c r="G331" s="5"/>
      <c r="H331" s="5"/>
      <c r="I331" s="5"/>
      <c r="J331" s="5"/>
    </row>
    <row r="332" spans="2:10">
      <c r="B332" s="5"/>
      <c r="C332" s="5"/>
      <c r="D332" s="5"/>
      <c r="E332" s="5"/>
      <c r="F332" s="5"/>
      <c r="G332" s="5"/>
      <c r="H332" s="5"/>
      <c r="I332" s="5"/>
      <c r="J332" s="5"/>
    </row>
    <row r="333" spans="2:10">
      <c r="B333" s="5"/>
      <c r="C333" s="5"/>
      <c r="D333" s="5"/>
      <c r="E333" s="5"/>
      <c r="F333" s="5"/>
      <c r="G333" s="5"/>
      <c r="H333" s="5"/>
      <c r="I333" s="5"/>
      <c r="J333" s="5"/>
    </row>
    <row r="334" spans="2:10">
      <c r="B334" s="5"/>
      <c r="C334" s="5"/>
      <c r="D334" s="5"/>
      <c r="E334" s="5"/>
      <c r="F334" s="5"/>
      <c r="G334" s="5"/>
      <c r="H334" s="5"/>
      <c r="I334" s="5"/>
      <c r="J334" s="5"/>
    </row>
    <row r="335" spans="2:10">
      <c r="B335" s="5"/>
      <c r="C335" s="5"/>
      <c r="D335" s="5"/>
      <c r="E335" s="5"/>
      <c r="F335" s="5"/>
      <c r="G335" s="5"/>
      <c r="H335" s="5"/>
      <c r="I335" s="5"/>
      <c r="J335" s="5"/>
    </row>
    <row r="336" spans="2:10">
      <c r="B336" s="5"/>
      <c r="C336" s="5"/>
      <c r="D336" s="5"/>
      <c r="E336" s="5"/>
      <c r="F336" s="5"/>
      <c r="G336" s="5"/>
      <c r="H336" s="5"/>
      <c r="I336" s="5"/>
      <c r="J336" s="5"/>
    </row>
    <row r="337" spans="2:10">
      <c r="B337" s="5"/>
      <c r="C337" s="5"/>
      <c r="D337" s="5"/>
      <c r="E337" s="5"/>
      <c r="F337" s="5"/>
      <c r="G337" s="5"/>
      <c r="H337" s="5"/>
      <c r="I337" s="5"/>
      <c r="J337" s="5"/>
    </row>
    <row r="338" spans="2:10">
      <c r="B338" s="5"/>
      <c r="C338" s="5"/>
      <c r="D338" s="5"/>
      <c r="E338" s="5"/>
      <c r="F338" s="5"/>
      <c r="G338" s="5"/>
      <c r="H338" s="5"/>
      <c r="I338" s="5"/>
      <c r="J338" s="5"/>
    </row>
    <row r="339" spans="2:10">
      <c r="B339" s="5"/>
      <c r="C339" s="5"/>
      <c r="D339" s="5"/>
      <c r="E339" s="5"/>
      <c r="F339" s="5"/>
      <c r="G339" s="5"/>
      <c r="H339" s="5"/>
      <c r="I339" s="5"/>
      <c r="J339" s="5"/>
    </row>
    <row r="340" spans="2:10">
      <c r="B340" s="5"/>
      <c r="C340" s="5"/>
      <c r="D340" s="5"/>
      <c r="E340" s="5"/>
      <c r="F340" s="5"/>
      <c r="G340" s="5"/>
      <c r="H340" s="5"/>
      <c r="I340" s="5"/>
      <c r="J340" s="5"/>
    </row>
    <row r="341" spans="2:10">
      <c r="B341" s="5"/>
      <c r="C341" s="5"/>
      <c r="D341" s="5"/>
      <c r="E341" s="5"/>
      <c r="F341" s="5"/>
      <c r="G341" s="5"/>
      <c r="H341" s="5"/>
      <c r="I341" s="5"/>
      <c r="J341" s="5"/>
    </row>
    <row r="342" spans="2:10">
      <c r="B342" s="5"/>
      <c r="C342" s="5"/>
      <c r="D342" s="5"/>
      <c r="E342" s="5"/>
      <c r="F342" s="5"/>
      <c r="G342" s="5"/>
      <c r="H342" s="5"/>
      <c r="I342" s="5"/>
      <c r="J342" s="5"/>
    </row>
    <row r="343" spans="2:10">
      <c r="B343" s="5"/>
      <c r="C343" s="5"/>
      <c r="D343" s="5"/>
      <c r="E343" s="5"/>
      <c r="F343" s="5"/>
      <c r="G343" s="5"/>
      <c r="H343" s="5"/>
      <c r="I343" s="5"/>
      <c r="J343" s="5"/>
    </row>
    <row r="344" spans="2:10">
      <c r="B344" s="5"/>
      <c r="C344" s="5"/>
      <c r="D344" s="5"/>
      <c r="E344" s="5"/>
      <c r="F344" s="5"/>
      <c r="G344" s="5"/>
      <c r="H344" s="5"/>
      <c r="I344" s="5"/>
      <c r="J344" s="5"/>
    </row>
    <row r="345" spans="2:10">
      <c r="B345" s="5"/>
      <c r="C345" s="5"/>
      <c r="D345" s="5"/>
      <c r="E345" s="5"/>
      <c r="F345" s="5"/>
      <c r="G345" s="5"/>
      <c r="H345" s="5"/>
      <c r="I345" s="5"/>
      <c r="J345" s="5"/>
    </row>
    <row r="346" spans="2:10">
      <c r="B346" s="5"/>
      <c r="C346" s="5"/>
      <c r="D346" s="5"/>
      <c r="E346" s="5"/>
      <c r="F346" s="5"/>
      <c r="G346" s="5"/>
      <c r="H346" s="5"/>
      <c r="I346" s="5"/>
      <c r="J346" s="5"/>
    </row>
    <row r="347" spans="2:10">
      <c r="B347" s="5"/>
      <c r="C347" s="5"/>
      <c r="D347" s="5"/>
      <c r="E347" s="5"/>
      <c r="F347" s="5"/>
      <c r="G347" s="5"/>
      <c r="H347" s="5"/>
      <c r="I347" s="5"/>
      <c r="J347" s="5"/>
    </row>
    <row r="348" spans="2:10">
      <c r="B348" s="5"/>
      <c r="C348" s="5"/>
      <c r="D348" s="5"/>
      <c r="E348" s="5"/>
      <c r="F348" s="5"/>
      <c r="G348" s="5"/>
      <c r="H348" s="5"/>
      <c r="I348" s="5"/>
      <c r="J348" s="5"/>
    </row>
    <row r="349" spans="2:10">
      <c r="B349" s="5"/>
      <c r="C349" s="5"/>
      <c r="D349" s="5"/>
      <c r="E349" s="5"/>
      <c r="F349" s="5"/>
      <c r="G349" s="5"/>
      <c r="H349" s="5"/>
      <c r="I349" s="5"/>
      <c r="J349" s="5"/>
    </row>
    <row r="350" spans="2:10">
      <c r="B350" s="5"/>
      <c r="C350" s="5"/>
      <c r="D350" s="5"/>
      <c r="E350" s="5"/>
      <c r="F350" s="5"/>
      <c r="G350" s="5"/>
      <c r="H350" s="5"/>
      <c r="I350" s="5"/>
      <c r="J350" s="5"/>
    </row>
    <row r="351" spans="2:10">
      <c r="B351" s="5"/>
      <c r="C351" s="5"/>
      <c r="D351" s="5"/>
      <c r="E351" s="5"/>
      <c r="F351" s="5"/>
      <c r="G351" s="5"/>
      <c r="H351" s="5"/>
      <c r="I351" s="5"/>
      <c r="J351" s="5"/>
    </row>
    <row r="352" spans="2:10">
      <c r="B352" s="5"/>
      <c r="C352" s="5"/>
      <c r="D352" s="5"/>
      <c r="E352" s="5"/>
      <c r="F352" s="5"/>
      <c r="G352" s="5"/>
      <c r="H352" s="5"/>
      <c r="I352" s="5"/>
      <c r="J352" s="5"/>
    </row>
    <row r="353" spans="2:10">
      <c r="B353" s="5"/>
      <c r="C353" s="5"/>
      <c r="D353" s="5"/>
      <c r="E353" s="5"/>
      <c r="F353" s="5"/>
      <c r="G353" s="5"/>
      <c r="H353" s="5"/>
      <c r="I353" s="5"/>
      <c r="J353" s="5"/>
    </row>
    <row r="354" spans="2:10">
      <c r="B354" s="5"/>
      <c r="C354" s="5"/>
      <c r="D354" s="5"/>
      <c r="E354" s="5"/>
      <c r="F354" s="5"/>
      <c r="G354" s="5"/>
      <c r="H354" s="5"/>
      <c r="I354" s="5"/>
      <c r="J354" s="5"/>
    </row>
    <row r="355" spans="2:10">
      <c r="B355" s="5"/>
      <c r="C355" s="5"/>
      <c r="D355" s="5"/>
      <c r="E355" s="5"/>
      <c r="F355" s="5"/>
      <c r="G355" s="5"/>
      <c r="H355" s="5"/>
      <c r="I355" s="5"/>
      <c r="J355" s="5"/>
    </row>
    <row r="356" spans="2:10">
      <c r="B356" s="5"/>
      <c r="C356" s="5"/>
      <c r="D356" s="5"/>
      <c r="E356" s="5"/>
      <c r="F356" s="5"/>
      <c r="G356" s="5"/>
      <c r="H356" s="5"/>
      <c r="I356" s="5"/>
      <c r="J356" s="5"/>
    </row>
    <row r="357" spans="2:10">
      <c r="B357" s="5"/>
      <c r="C357" s="5"/>
      <c r="D357" s="5"/>
      <c r="E357" s="5"/>
      <c r="F357" s="5"/>
      <c r="G357" s="5"/>
      <c r="H357" s="5"/>
      <c r="I357" s="5"/>
      <c r="J357" s="5"/>
    </row>
    <row r="358" spans="2:10">
      <c r="B358" s="5"/>
      <c r="C358" s="5"/>
      <c r="D358" s="5"/>
      <c r="E358" s="5"/>
      <c r="F358" s="5"/>
      <c r="G358" s="5"/>
      <c r="H358" s="5"/>
      <c r="I358" s="5"/>
      <c r="J358" s="5"/>
    </row>
    <row r="359" spans="2:10">
      <c r="B359" s="5"/>
      <c r="C359" s="5"/>
      <c r="D359" s="5"/>
      <c r="E359" s="5"/>
      <c r="F359" s="5"/>
      <c r="G359" s="5"/>
      <c r="H359" s="5"/>
      <c r="I359" s="5"/>
      <c r="J359" s="5"/>
    </row>
    <row r="360" spans="2:10">
      <c r="B360" s="5"/>
      <c r="C360" s="5"/>
      <c r="D360" s="5"/>
      <c r="E360" s="5"/>
      <c r="F360" s="5"/>
      <c r="G360" s="5"/>
      <c r="H360" s="5"/>
      <c r="I360" s="5"/>
      <c r="J360" s="5"/>
    </row>
    <row r="361" spans="2:10">
      <c r="B361" s="5"/>
      <c r="C361" s="5"/>
      <c r="D361" s="5"/>
      <c r="E361" s="5"/>
      <c r="F361" s="5"/>
      <c r="G361" s="5"/>
      <c r="H361" s="5"/>
      <c r="I361" s="5"/>
      <c r="J361" s="5"/>
    </row>
    <row r="362" spans="2:10">
      <c r="B362" s="5"/>
      <c r="C362" s="5"/>
      <c r="D362" s="5"/>
      <c r="E362" s="5"/>
      <c r="F362" s="5"/>
      <c r="G362" s="5"/>
      <c r="H362" s="5"/>
      <c r="I362" s="5"/>
      <c r="J362" s="5"/>
    </row>
    <row r="363" spans="2:10">
      <c r="B363" s="5"/>
      <c r="C363" s="5"/>
      <c r="D363" s="5"/>
      <c r="E363" s="5"/>
      <c r="F363" s="5"/>
      <c r="G363" s="5"/>
      <c r="H363" s="5"/>
      <c r="I363" s="5"/>
      <c r="J363" s="5"/>
    </row>
    <row r="364" spans="2:10">
      <c r="B364" s="5"/>
      <c r="C364" s="5"/>
      <c r="D364" s="5"/>
      <c r="E364" s="5"/>
      <c r="F364" s="5"/>
      <c r="G364" s="5"/>
      <c r="H364" s="5"/>
      <c r="I364" s="5"/>
      <c r="J364" s="5"/>
    </row>
    <row r="365" spans="2:10">
      <c r="B365" s="5"/>
      <c r="C365" s="5"/>
      <c r="D365" s="5"/>
      <c r="E365" s="5"/>
      <c r="F365" s="5"/>
      <c r="G365" s="5"/>
      <c r="H365" s="5"/>
      <c r="I365" s="5"/>
      <c r="J365" s="5"/>
    </row>
    <row r="366" spans="2:10">
      <c r="B366" s="5"/>
      <c r="C366" s="5"/>
      <c r="D366" s="5"/>
      <c r="E366" s="5"/>
      <c r="F366" s="5"/>
      <c r="G366" s="5"/>
      <c r="H366" s="5"/>
      <c r="I366" s="5"/>
      <c r="J366" s="5"/>
    </row>
    <row r="367" spans="2:10">
      <c r="B367" s="5"/>
      <c r="C367" s="5"/>
      <c r="D367" s="5"/>
      <c r="E367" s="5"/>
      <c r="F367" s="5"/>
      <c r="G367" s="5"/>
      <c r="H367" s="5"/>
      <c r="I367" s="5"/>
      <c r="J367" s="5"/>
    </row>
    <row r="368" spans="2:10">
      <c r="B368" s="5"/>
      <c r="C368" s="5"/>
      <c r="D368" s="5"/>
      <c r="E368" s="5"/>
      <c r="F368" s="5"/>
      <c r="G368" s="5"/>
      <c r="H368" s="5"/>
      <c r="I368" s="5"/>
      <c r="J368" s="5"/>
    </row>
    <row r="369" spans="2:10">
      <c r="B369" s="5"/>
      <c r="C369" s="5"/>
      <c r="D369" s="5"/>
      <c r="E369" s="5"/>
      <c r="F369" s="5"/>
      <c r="G369" s="5"/>
      <c r="H369" s="5"/>
      <c r="I369" s="5"/>
      <c r="J369" s="5"/>
    </row>
    <row r="370" spans="2:10">
      <c r="B370" s="5"/>
      <c r="C370" s="5"/>
      <c r="D370" s="5"/>
      <c r="E370" s="5"/>
      <c r="F370" s="5"/>
      <c r="G370" s="5"/>
      <c r="H370" s="5"/>
      <c r="I370" s="5"/>
      <c r="J370" s="5"/>
    </row>
    <row r="371" spans="2:10">
      <c r="B371" s="5"/>
      <c r="C371" s="5"/>
      <c r="D371" s="5"/>
      <c r="E371" s="5"/>
      <c r="F371" s="5"/>
      <c r="G371" s="5"/>
      <c r="H371" s="5"/>
      <c r="I371" s="5"/>
      <c r="J371" s="5"/>
    </row>
    <row r="372" spans="2:10">
      <c r="B372" s="5"/>
      <c r="C372" s="5"/>
      <c r="D372" s="5"/>
      <c r="E372" s="5"/>
      <c r="F372" s="5"/>
      <c r="G372" s="5"/>
      <c r="H372" s="5"/>
      <c r="I372" s="5"/>
      <c r="J372" s="5"/>
    </row>
    <row r="373" spans="2:10">
      <c r="B373" s="5"/>
      <c r="C373" s="5"/>
      <c r="D373" s="5"/>
      <c r="E373" s="5"/>
      <c r="F373" s="5"/>
      <c r="G373" s="5"/>
      <c r="H373" s="5"/>
      <c r="I373" s="5"/>
      <c r="J373" s="5"/>
    </row>
    <row r="374" spans="2:10">
      <c r="B374" s="5"/>
      <c r="C374" s="5"/>
      <c r="D374" s="5"/>
      <c r="E374" s="5"/>
      <c r="F374" s="5"/>
      <c r="G374" s="5"/>
      <c r="H374" s="5"/>
      <c r="I374" s="5"/>
      <c r="J374" s="5"/>
    </row>
    <row r="375" spans="2:10">
      <c r="B375" s="5"/>
      <c r="C375" s="5"/>
      <c r="D375" s="5"/>
      <c r="E375" s="5"/>
      <c r="F375" s="5"/>
      <c r="G375" s="5"/>
      <c r="H375" s="5"/>
      <c r="I375" s="5"/>
      <c r="J375" s="5"/>
    </row>
    <row r="376" spans="2:10">
      <c r="B376" s="5"/>
      <c r="C376" s="5"/>
      <c r="D376" s="5"/>
      <c r="E376" s="5"/>
      <c r="F376" s="5"/>
      <c r="G376" s="5"/>
      <c r="H376" s="5"/>
      <c r="I376" s="5"/>
      <c r="J376" s="5"/>
    </row>
    <row r="377" spans="2:10">
      <c r="B377" s="5"/>
      <c r="C377" s="5"/>
      <c r="D377" s="5"/>
      <c r="E377" s="5"/>
      <c r="F377" s="5"/>
      <c r="G377" s="5"/>
      <c r="H377" s="5"/>
      <c r="I377" s="5"/>
      <c r="J377" s="5"/>
    </row>
    <row r="378" spans="2:10">
      <c r="B378" s="5"/>
      <c r="C378" s="5"/>
      <c r="D378" s="5"/>
      <c r="E378" s="5"/>
      <c r="F378" s="5"/>
      <c r="G378" s="5"/>
      <c r="H378" s="5"/>
      <c r="I378" s="5"/>
      <c r="J378" s="5"/>
    </row>
    <row r="379" spans="2:10">
      <c r="B379" s="5"/>
      <c r="C379" s="5"/>
      <c r="D379" s="5"/>
      <c r="E379" s="5"/>
      <c r="F379" s="5"/>
      <c r="G379" s="5"/>
      <c r="H379" s="5"/>
      <c r="I379" s="5"/>
      <c r="J379" s="5"/>
    </row>
    <row r="380" spans="2:10">
      <c r="B380" s="5"/>
      <c r="C380" s="5"/>
      <c r="D380" s="5"/>
      <c r="E380" s="5"/>
      <c r="F380" s="5"/>
      <c r="G380" s="5"/>
      <c r="H380" s="5"/>
      <c r="I380" s="5"/>
      <c r="J380" s="5"/>
    </row>
    <row r="381" spans="2:10">
      <c r="B381" s="5"/>
      <c r="C381" s="5"/>
      <c r="D381" s="5"/>
      <c r="E381" s="5"/>
      <c r="F381" s="5"/>
      <c r="G381" s="5"/>
      <c r="H381" s="5"/>
      <c r="I381" s="5"/>
      <c r="J381" s="5"/>
    </row>
    <row r="382" spans="2:10">
      <c r="B382" s="5"/>
      <c r="C382" s="5"/>
      <c r="D382" s="5"/>
      <c r="E382" s="5"/>
      <c r="F382" s="5"/>
      <c r="G382" s="5"/>
      <c r="H382" s="5"/>
      <c r="I382" s="5"/>
      <c r="J382" s="5"/>
    </row>
    <row r="383" spans="2:10">
      <c r="B383" s="5"/>
      <c r="C383" s="5"/>
      <c r="D383" s="5"/>
      <c r="E383" s="5"/>
      <c r="F383" s="5"/>
      <c r="G383" s="5"/>
      <c r="H383" s="5"/>
      <c r="I383" s="5"/>
      <c r="J383" s="5"/>
    </row>
    <row r="384" spans="2:10">
      <c r="B384" s="5"/>
      <c r="C384" s="5"/>
      <c r="D384" s="5"/>
      <c r="E384" s="5"/>
      <c r="F384" s="5"/>
      <c r="G384" s="5"/>
      <c r="H384" s="5"/>
      <c r="I384" s="5"/>
      <c r="J384" s="5"/>
    </row>
    <row r="385" spans="2:10">
      <c r="B385" s="5"/>
      <c r="C385" s="5"/>
      <c r="D385" s="5"/>
      <c r="E385" s="5"/>
      <c r="F385" s="5"/>
      <c r="G385" s="5"/>
      <c r="H385" s="5"/>
      <c r="I385" s="5"/>
      <c r="J385" s="5"/>
    </row>
    <row r="386" spans="2:10">
      <c r="B386" s="5"/>
      <c r="C386" s="5"/>
      <c r="D386" s="5"/>
      <c r="E386" s="5"/>
      <c r="F386" s="5"/>
      <c r="G386" s="5"/>
      <c r="H386" s="5"/>
      <c r="I386" s="5"/>
      <c r="J386" s="5"/>
    </row>
    <row r="387" spans="2:10">
      <c r="B387" s="5"/>
      <c r="C387" s="5"/>
      <c r="D387" s="5"/>
      <c r="E387" s="5"/>
      <c r="F387" s="5"/>
      <c r="G387" s="5"/>
      <c r="H387" s="5"/>
      <c r="I387" s="5"/>
      <c r="J387" s="5"/>
    </row>
    <row r="388" spans="2:10">
      <c r="B388" s="5"/>
      <c r="C388" s="5"/>
      <c r="D388" s="5"/>
      <c r="E388" s="5"/>
      <c r="F388" s="5"/>
      <c r="G388" s="5"/>
      <c r="H388" s="5"/>
      <c r="I388" s="5"/>
      <c r="J388" s="5"/>
    </row>
    <row r="389" spans="2:10">
      <c r="B389" s="5"/>
      <c r="C389" s="5"/>
      <c r="D389" s="5"/>
      <c r="E389" s="5"/>
      <c r="F389" s="5"/>
      <c r="G389" s="5"/>
      <c r="H389" s="5"/>
      <c r="I389" s="5"/>
      <c r="J389" s="5"/>
    </row>
    <row r="390" spans="2:10">
      <c r="B390" s="5"/>
      <c r="C390" s="5"/>
      <c r="D390" s="5"/>
      <c r="E390" s="5"/>
      <c r="F390" s="5"/>
      <c r="G390" s="5"/>
      <c r="H390" s="5"/>
      <c r="I390" s="5"/>
      <c r="J390" s="5"/>
    </row>
    <row r="391" spans="2:10">
      <c r="B391" s="5"/>
      <c r="C391" s="5"/>
      <c r="D391" s="5"/>
      <c r="E391" s="5"/>
      <c r="F391" s="5"/>
      <c r="G391" s="5"/>
      <c r="H391" s="5"/>
      <c r="I391" s="5"/>
      <c r="J391" s="5"/>
    </row>
    <row r="392" spans="2:10">
      <c r="B392" s="5"/>
      <c r="C392" s="5"/>
      <c r="D392" s="5"/>
      <c r="E392" s="5"/>
      <c r="F392" s="5"/>
      <c r="G392" s="5"/>
      <c r="H392" s="5"/>
      <c r="I392" s="5"/>
      <c r="J392" s="5"/>
    </row>
    <row r="393" spans="2:10">
      <c r="B393" s="5"/>
      <c r="C393" s="5"/>
      <c r="D393" s="5"/>
      <c r="E393" s="5"/>
      <c r="F393" s="5"/>
      <c r="G393" s="5"/>
      <c r="H393" s="5"/>
      <c r="I393" s="5"/>
      <c r="J393" s="5"/>
    </row>
    <row r="394" spans="2:10">
      <c r="B394" s="5"/>
      <c r="C394" s="5"/>
      <c r="D394" s="5"/>
      <c r="E394" s="5"/>
      <c r="F394" s="5"/>
      <c r="G394" s="5"/>
      <c r="H394" s="5"/>
      <c r="I394" s="5"/>
      <c r="J394" s="5"/>
    </row>
    <row r="395" spans="2:10">
      <c r="B395" s="5"/>
      <c r="C395" s="5"/>
      <c r="D395" s="5"/>
      <c r="E395" s="5"/>
      <c r="F395" s="5"/>
      <c r="G395" s="5"/>
      <c r="H395" s="5"/>
      <c r="I395" s="5"/>
      <c r="J395" s="5"/>
    </row>
    <row r="396" spans="2:10">
      <c r="B396" s="5"/>
      <c r="C396" s="5"/>
      <c r="D396" s="5"/>
      <c r="E396" s="5"/>
      <c r="F396" s="5"/>
      <c r="G396" s="5"/>
      <c r="H396" s="5"/>
      <c r="I396" s="5"/>
      <c r="J396" s="5"/>
    </row>
    <row r="397" spans="2:10">
      <c r="B397" s="5"/>
      <c r="C397" s="5"/>
      <c r="D397" s="5"/>
      <c r="E397" s="5"/>
      <c r="F397" s="5"/>
      <c r="G397" s="5"/>
      <c r="H397" s="5"/>
      <c r="I397" s="5"/>
      <c r="J397" s="5"/>
    </row>
    <row r="398" spans="2:10">
      <c r="B398" s="5"/>
      <c r="C398" s="5"/>
      <c r="D398" s="5"/>
      <c r="E398" s="5"/>
      <c r="F398" s="5"/>
      <c r="G398" s="5"/>
      <c r="H398" s="5"/>
      <c r="I398" s="5"/>
      <c r="J398" s="5"/>
    </row>
    <row r="399" spans="2:10">
      <c r="B399" s="5"/>
      <c r="C399" s="5"/>
      <c r="D399" s="5"/>
      <c r="E399" s="5"/>
      <c r="F399" s="5"/>
      <c r="G399" s="5"/>
      <c r="H399" s="5"/>
      <c r="I399" s="5"/>
      <c r="J399" s="5"/>
    </row>
    <row r="400" spans="2:10">
      <c r="B400" s="5"/>
      <c r="C400" s="5"/>
      <c r="D400" s="5"/>
      <c r="E400" s="5"/>
      <c r="F400" s="5"/>
      <c r="G400" s="5"/>
      <c r="H400" s="5"/>
      <c r="I400" s="5"/>
      <c r="J400" s="5"/>
    </row>
    <row r="401" spans="2:10">
      <c r="B401" s="5"/>
      <c r="C401" s="5"/>
      <c r="D401" s="5"/>
      <c r="E401" s="5"/>
      <c r="F401" s="5"/>
      <c r="G401" s="5"/>
      <c r="H401" s="5"/>
      <c r="I401" s="5"/>
      <c r="J401" s="5"/>
    </row>
    <row r="402" spans="2:10">
      <c r="B402" s="5"/>
      <c r="C402" s="5"/>
      <c r="D402" s="5"/>
      <c r="E402" s="5"/>
      <c r="F402" s="5"/>
      <c r="G402" s="5"/>
      <c r="H402" s="5"/>
      <c r="I402" s="5"/>
      <c r="J402" s="5"/>
    </row>
    <row r="403" spans="2:10">
      <c r="B403" s="5"/>
      <c r="C403" s="5"/>
      <c r="D403" s="5"/>
      <c r="E403" s="5"/>
      <c r="F403" s="5"/>
      <c r="G403" s="5"/>
      <c r="H403" s="5"/>
      <c r="I403" s="5"/>
      <c r="J403" s="5"/>
    </row>
    <row r="404" spans="2:10">
      <c r="B404" s="5"/>
      <c r="C404" s="5"/>
      <c r="D404" s="5"/>
      <c r="E404" s="5"/>
      <c r="F404" s="5"/>
      <c r="G404" s="5"/>
      <c r="H404" s="5"/>
      <c r="I404" s="5"/>
      <c r="J404" s="5"/>
    </row>
    <row r="405" spans="2:10">
      <c r="B405" s="5"/>
      <c r="C405" s="5"/>
      <c r="D405" s="5"/>
      <c r="E405" s="5"/>
      <c r="F405" s="5"/>
      <c r="G405" s="5"/>
      <c r="H405" s="5"/>
      <c r="I405" s="5"/>
      <c r="J405" s="5"/>
    </row>
    <row r="406" spans="2:10">
      <c r="B406" s="5"/>
      <c r="C406" s="5"/>
      <c r="D406" s="5"/>
      <c r="E406" s="5"/>
      <c r="F406" s="5"/>
      <c r="G406" s="5"/>
      <c r="H406" s="5"/>
      <c r="I406" s="5"/>
      <c r="J406" s="5"/>
    </row>
    <row r="407" spans="2:10">
      <c r="B407" s="5"/>
      <c r="C407" s="5"/>
      <c r="D407" s="5"/>
      <c r="E407" s="5"/>
      <c r="F407" s="5"/>
      <c r="G407" s="5"/>
      <c r="H407" s="5"/>
      <c r="I407" s="5"/>
      <c r="J407" s="5"/>
    </row>
    <row r="408" spans="2:10">
      <c r="B408" s="5"/>
      <c r="C408" s="5"/>
      <c r="D408" s="5"/>
      <c r="E408" s="5"/>
      <c r="F408" s="5"/>
      <c r="G408" s="5"/>
      <c r="H408" s="5"/>
      <c r="I408" s="5"/>
      <c r="J408" s="5"/>
    </row>
    <row r="409" spans="2:10">
      <c r="B409" s="5"/>
      <c r="C409" s="5"/>
      <c r="D409" s="5"/>
      <c r="E409" s="5"/>
      <c r="F409" s="5"/>
      <c r="G409" s="5"/>
      <c r="H409" s="5"/>
      <c r="I409" s="5"/>
      <c r="J409" s="5"/>
    </row>
    <row r="410" spans="2:10">
      <c r="B410" s="5"/>
      <c r="C410" s="5"/>
      <c r="D410" s="5"/>
      <c r="E410" s="5"/>
      <c r="F410" s="5"/>
      <c r="G410" s="5"/>
      <c r="H410" s="5"/>
      <c r="I410" s="5"/>
      <c r="J410" s="5"/>
    </row>
    <row r="411" spans="2:10">
      <c r="B411" s="5"/>
      <c r="C411" s="5"/>
      <c r="D411" s="5"/>
      <c r="E411" s="5"/>
      <c r="F411" s="5"/>
      <c r="G411" s="5"/>
      <c r="H411" s="5"/>
      <c r="I411" s="5"/>
      <c r="J411" s="5"/>
    </row>
    <row r="412" spans="2:10">
      <c r="B412" s="5"/>
      <c r="C412" s="5"/>
      <c r="D412" s="5"/>
      <c r="E412" s="5"/>
      <c r="F412" s="5"/>
      <c r="G412" s="5"/>
      <c r="H412" s="5"/>
      <c r="I412" s="5"/>
      <c r="J412" s="5"/>
    </row>
    <row r="413" spans="2:10">
      <c r="B413" s="5"/>
      <c r="C413" s="5"/>
      <c r="D413" s="5"/>
      <c r="E413" s="5"/>
      <c r="F413" s="5"/>
      <c r="G413" s="5"/>
      <c r="H413" s="5"/>
      <c r="I413" s="5"/>
      <c r="J413" s="5"/>
    </row>
    <row r="414" spans="2:10">
      <c r="B414" s="5"/>
      <c r="C414" s="5"/>
      <c r="D414" s="5"/>
      <c r="E414" s="5"/>
      <c r="F414" s="5"/>
      <c r="G414" s="5"/>
      <c r="H414" s="5"/>
      <c r="I414" s="5"/>
      <c r="J414" s="5"/>
    </row>
    <row r="415" spans="2:10">
      <c r="B415" s="5"/>
      <c r="C415" s="5"/>
      <c r="D415" s="5"/>
      <c r="E415" s="5"/>
      <c r="F415" s="5"/>
      <c r="G415" s="5"/>
      <c r="H415" s="5"/>
      <c r="I415" s="5"/>
      <c r="J415" s="5"/>
    </row>
    <row r="416" spans="2:10">
      <c r="B416" s="5"/>
      <c r="C416" s="5"/>
      <c r="D416" s="5"/>
      <c r="E416" s="5"/>
      <c r="F416" s="5"/>
      <c r="G416" s="5"/>
      <c r="H416" s="5"/>
      <c r="I416" s="5"/>
      <c r="J416" s="5"/>
    </row>
    <row r="417" spans="2:10">
      <c r="B417" s="5"/>
      <c r="C417" s="5"/>
      <c r="D417" s="5"/>
      <c r="E417" s="5"/>
      <c r="F417" s="5"/>
      <c r="G417" s="5"/>
      <c r="H417" s="5"/>
      <c r="I417" s="5"/>
      <c r="J417" s="5"/>
    </row>
    <row r="418" spans="2:10">
      <c r="B418" s="5"/>
      <c r="C418" s="5"/>
      <c r="D418" s="5"/>
      <c r="E418" s="5"/>
      <c r="F418" s="5"/>
      <c r="G418" s="5"/>
      <c r="H418" s="5"/>
      <c r="I418" s="5"/>
      <c r="J418" s="5"/>
    </row>
    <row r="419" spans="2:10">
      <c r="B419" s="5"/>
      <c r="C419" s="5"/>
      <c r="D419" s="5"/>
      <c r="E419" s="5"/>
      <c r="F419" s="5"/>
      <c r="G419" s="5"/>
      <c r="H419" s="5"/>
      <c r="I419" s="5"/>
      <c r="J419" s="5"/>
    </row>
    <row r="420" spans="2:10">
      <c r="B420" s="5"/>
      <c r="C420" s="5"/>
      <c r="D420" s="5"/>
      <c r="E420" s="5"/>
      <c r="F420" s="5"/>
      <c r="G420" s="5"/>
      <c r="H420" s="5"/>
      <c r="I420" s="5"/>
      <c r="J420" s="5"/>
    </row>
    <row r="421" spans="2:10">
      <c r="B421" s="5"/>
      <c r="C421" s="5"/>
      <c r="D421" s="5"/>
      <c r="E421" s="5"/>
      <c r="F421" s="5"/>
      <c r="G421" s="5"/>
      <c r="H421" s="5"/>
      <c r="I421" s="5"/>
      <c r="J421" s="5"/>
    </row>
    <row r="422" spans="2:10">
      <c r="B422" s="5"/>
      <c r="C422" s="5"/>
      <c r="D422" s="5"/>
      <c r="E422" s="5"/>
      <c r="F422" s="5"/>
      <c r="G422" s="5"/>
      <c r="H422" s="5"/>
      <c r="I422" s="5"/>
      <c r="J422" s="5"/>
    </row>
    <row r="423" spans="2:10">
      <c r="B423" s="5"/>
      <c r="C423" s="5"/>
      <c r="D423" s="5"/>
      <c r="E423" s="5"/>
      <c r="F423" s="5"/>
      <c r="G423" s="5"/>
      <c r="H423" s="5"/>
      <c r="I423" s="5"/>
      <c r="J423" s="5"/>
    </row>
    <row r="424" spans="2:10">
      <c r="B424" s="5"/>
      <c r="C424" s="5"/>
      <c r="D424" s="5"/>
      <c r="E424" s="5"/>
      <c r="F424" s="5"/>
      <c r="G424" s="5"/>
      <c r="H424" s="5"/>
      <c r="I424" s="5"/>
      <c r="J424" s="5"/>
    </row>
    <row r="425" spans="2:10">
      <c r="B425" s="5"/>
      <c r="C425" s="5"/>
      <c r="D425" s="5"/>
      <c r="E425" s="5"/>
      <c r="F425" s="5"/>
      <c r="G425" s="5"/>
      <c r="H425" s="5"/>
      <c r="I425" s="5"/>
      <c r="J425" s="5"/>
    </row>
    <row r="426" spans="2:10">
      <c r="B426" s="5"/>
      <c r="C426" s="5"/>
      <c r="D426" s="5"/>
      <c r="E426" s="5"/>
      <c r="F426" s="5"/>
      <c r="G426" s="5"/>
      <c r="H426" s="5"/>
      <c r="I426" s="5"/>
      <c r="J426" s="5"/>
    </row>
    <row r="427" spans="2:10">
      <c r="B427" s="5"/>
      <c r="C427" s="5"/>
      <c r="D427" s="5"/>
      <c r="E427" s="5"/>
      <c r="F427" s="5"/>
      <c r="G427" s="5"/>
      <c r="H427" s="5"/>
      <c r="I427" s="5"/>
      <c r="J427" s="5"/>
    </row>
    <row r="428" spans="2:10">
      <c r="B428" s="5"/>
      <c r="C428" s="5"/>
      <c r="D428" s="5"/>
      <c r="E428" s="5"/>
      <c r="F428" s="5"/>
      <c r="G428" s="5"/>
      <c r="H428" s="5"/>
      <c r="I428" s="5"/>
      <c r="J428" s="5"/>
    </row>
    <row r="429" spans="2:10">
      <c r="B429" s="5"/>
      <c r="C429" s="5"/>
      <c r="D429" s="5"/>
      <c r="E429" s="5"/>
      <c r="F429" s="5"/>
      <c r="G429" s="5"/>
      <c r="H429" s="5"/>
      <c r="I429" s="5"/>
      <c r="J429" s="5"/>
    </row>
    <row r="430" spans="2:10">
      <c r="B430" s="5"/>
      <c r="C430" s="5"/>
      <c r="D430" s="5"/>
      <c r="E430" s="5"/>
      <c r="F430" s="5"/>
      <c r="G430" s="5"/>
      <c r="H430" s="5"/>
      <c r="I430" s="5"/>
      <c r="J430" s="5"/>
    </row>
    <row r="431" spans="2:10">
      <c r="B431" s="5"/>
      <c r="C431" s="5"/>
      <c r="D431" s="5"/>
      <c r="E431" s="5"/>
      <c r="F431" s="5"/>
      <c r="G431" s="5"/>
      <c r="H431" s="5"/>
      <c r="I431" s="5"/>
      <c r="J431" s="5"/>
    </row>
    <row r="432" spans="2:10">
      <c r="B432" s="5"/>
      <c r="C432" s="5"/>
      <c r="D432" s="5"/>
      <c r="E432" s="5"/>
      <c r="F432" s="5"/>
      <c r="G432" s="5"/>
      <c r="H432" s="5"/>
      <c r="I432" s="5"/>
      <c r="J432" s="5"/>
    </row>
    <row r="433" spans="2:10">
      <c r="B433" s="5"/>
      <c r="C433" s="5"/>
      <c r="D433" s="5"/>
      <c r="E433" s="5"/>
      <c r="F433" s="5"/>
      <c r="G433" s="5"/>
      <c r="H433" s="5"/>
      <c r="I433" s="5"/>
      <c r="J433" s="5"/>
    </row>
    <row r="434" spans="2:10">
      <c r="B434" s="5"/>
      <c r="C434" s="5"/>
      <c r="D434" s="5"/>
      <c r="E434" s="5"/>
      <c r="F434" s="5"/>
      <c r="G434" s="5"/>
      <c r="H434" s="5"/>
      <c r="I434" s="5"/>
      <c r="J434" s="5"/>
    </row>
    <row r="435" spans="2:10">
      <c r="B435" s="5"/>
      <c r="C435" s="5"/>
      <c r="D435" s="5"/>
      <c r="E435" s="5"/>
      <c r="F435" s="5"/>
      <c r="G435" s="5"/>
      <c r="H435" s="5"/>
      <c r="I435" s="5"/>
      <c r="J435" s="5"/>
    </row>
    <row r="436" spans="2:10">
      <c r="B436" s="5"/>
      <c r="C436" s="5"/>
      <c r="D436" s="5"/>
      <c r="E436" s="5"/>
      <c r="F436" s="5"/>
      <c r="G436" s="5"/>
      <c r="H436" s="5"/>
      <c r="I436" s="5"/>
      <c r="J436" s="5"/>
    </row>
    <row r="437" spans="2:10">
      <c r="B437" s="5"/>
      <c r="C437" s="5"/>
      <c r="D437" s="5"/>
      <c r="E437" s="5"/>
      <c r="F437" s="5"/>
      <c r="G437" s="5"/>
      <c r="H437" s="5"/>
      <c r="I437" s="5"/>
      <c r="J437" s="5"/>
    </row>
    <row r="438" spans="2:10">
      <c r="B438" s="5"/>
      <c r="C438" s="5"/>
      <c r="D438" s="5"/>
      <c r="E438" s="5"/>
      <c r="F438" s="5"/>
      <c r="G438" s="5"/>
      <c r="H438" s="5"/>
      <c r="I438" s="5"/>
      <c r="J438" s="5"/>
    </row>
    <row r="439" spans="2:10">
      <c r="B439" s="5"/>
      <c r="C439" s="5"/>
      <c r="D439" s="5"/>
      <c r="E439" s="5"/>
      <c r="F439" s="5"/>
      <c r="G439" s="5"/>
      <c r="H439" s="5"/>
      <c r="I439" s="5"/>
      <c r="J439" s="5"/>
    </row>
    <row r="440" spans="2:10">
      <c r="B440" s="5"/>
      <c r="C440" s="5"/>
      <c r="D440" s="5"/>
      <c r="E440" s="5"/>
      <c r="F440" s="5"/>
      <c r="G440" s="5"/>
      <c r="H440" s="5"/>
      <c r="I440" s="5"/>
      <c r="J440" s="5"/>
    </row>
    <row r="441" spans="2:10">
      <c r="B441" s="5"/>
      <c r="C441" s="5"/>
      <c r="D441" s="5"/>
      <c r="E441" s="5"/>
      <c r="F441" s="5"/>
      <c r="G441" s="5"/>
      <c r="H441" s="5"/>
      <c r="I441" s="5"/>
      <c r="J441" s="5"/>
    </row>
    <row r="442" spans="2:10">
      <c r="B442" s="5"/>
      <c r="C442" s="5"/>
      <c r="D442" s="5"/>
      <c r="E442" s="5"/>
      <c r="F442" s="5"/>
      <c r="G442" s="5"/>
      <c r="H442" s="5"/>
      <c r="I442" s="5"/>
      <c r="J442" s="5"/>
    </row>
    <row r="443" spans="2:10">
      <c r="B443" s="5"/>
      <c r="C443" s="5"/>
      <c r="D443" s="5"/>
      <c r="E443" s="5"/>
      <c r="F443" s="5"/>
      <c r="G443" s="5"/>
      <c r="H443" s="5"/>
      <c r="I443" s="5"/>
      <c r="J443" s="5"/>
    </row>
    <row r="444" spans="2:10">
      <c r="B444" s="5"/>
      <c r="C444" s="5"/>
      <c r="D444" s="5"/>
      <c r="E444" s="5"/>
      <c r="F444" s="5"/>
      <c r="G444" s="5"/>
      <c r="H444" s="5"/>
      <c r="I444" s="5"/>
      <c r="J444" s="5"/>
    </row>
    <row r="445" spans="2:10">
      <c r="B445" s="5"/>
      <c r="C445" s="5"/>
      <c r="D445" s="5"/>
      <c r="E445" s="5"/>
      <c r="F445" s="5"/>
      <c r="G445" s="5"/>
      <c r="H445" s="5"/>
      <c r="I445" s="5"/>
      <c r="J445" s="5"/>
    </row>
    <row r="446" spans="2:10">
      <c r="B446" s="5"/>
      <c r="C446" s="5"/>
      <c r="D446" s="5"/>
      <c r="E446" s="5"/>
      <c r="F446" s="5"/>
      <c r="G446" s="5"/>
      <c r="H446" s="5"/>
      <c r="I446" s="5"/>
      <c r="J446" s="5"/>
    </row>
    <row r="447" spans="2:10">
      <c r="B447" s="5"/>
      <c r="C447" s="5"/>
      <c r="D447" s="5"/>
      <c r="E447" s="5"/>
      <c r="F447" s="5"/>
      <c r="G447" s="5"/>
      <c r="H447" s="5"/>
      <c r="I447" s="5"/>
      <c r="J447" s="5"/>
    </row>
    <row r="448" spans="2:10">
      <c r="B448" s="5"/>
      <c r="C448" s="5"/>
      <c r="D448" s="5"/>
      <c r="E448" s="5"/>
      <c r="F448" s="5"/>
      <c r="G448" s="5"/>
      <c r="H448" s="5"/>
      <c r="I448" s="5"/>
      <c r="J448" s="5"/>
    </row>
    <row r="449" spans="2:10">
      <c r="B449" s="5"/>
      <c r="C449" s="5"/>
      <c r="D449" s="5"/>
      <c r="E449" s="5"/>
      <c r="F449" s="5"/>
      <c r="G449" s="5"/>
      <c r="H449" s="5"/>
      <c r="I449" s="5"/>
      <c r="J449" s="5"/>
    </row>
    <row r="450" spans="2:10">
      <c r="B450" s="5"/>
      <c r="C450" s="5"/>
      <c r="D450" s="5"/>
      <c r="E450" s="5"/>
      <c r="F450" s="5"/>
      <c r="G450" s="5"/>
      <c r="H450" s="5"/>
      <c r="I450" s="5"/>
      <c r="J450" s="5"/>
    </row>
    <row r="451" spans="2:10">
      <c r="B451" s="5"/>
      <c r="C451" s="5"/>
      <c r="D451" s="5"/>
      <c r="E451" s="5"/>
      <c r="F451" s="5"/>
      <c r="G451" s="5"/>
      <c r="H451" s="5"/>
      <c r="I451" s="5"/>
      <c r="J451" s="5"/>
    </row>
    <row r="452" spans="2:10">
      <c r="B452" s="5"/>
      <c r="C452" s="5"/>
      <c r="D452" s="5"/>
      <c r="E452" s="5"/>
      <c r="F452" s="5"/>
      <c r="G452" s="5"/>
      <c r="H452" s="5"/>
      <c r="I452" s="5"/>
      <c r="J452" s="5"/>
    </row>
    <row r="453" spans="2:10">
      <c r="B453" s="5"/>
      <c r="C453" s="5"/>
      <c r="D453" s="5"/>
      <c r="E453" s="5"/>
      <c r="F453" s="5"/>
      <c r="G453" s="5"/>
      <c r="H453" s="5"/>
      <c r="I453" s="5"/>
      <c r="J453" s="5"/>
    </row>
    <row r="454" spans="2:10">
      <c r="B454" s="5"/>
      <c r="C454" s="5"/>
      <c r="D454" s="5"/>
      <c r="E454" s="5"/>
      <c r="F454" s="5"/>
      <c r="G454" s="5"/>
      <c r="H454" s="5"/>
      <c r="I454" s="5"/>
      <c r="J454" s="5"/>
    </row>
    <row r="455" spans="2:10">
      <c r="B455" s="5"/>
      <c r="C455" s="5"/>
      <c r="D455" s="5"/>
      <c r="E455" s="5"/>
      <c r="F455" s="5"/>
      <c r="G455" s="5"/>
      <c r="H455" s="5"/>
      <c r="I455" s="5"/>
      <c r="J455" s="5"/>
    </row>
    <row r="456" spans="2:10">
      <c r="B456" s="5"/>
      <c r="C456" s="5"/>
      <c r="D456" s="5"/>
      <c r="E456" s="5"/>
      <c r="F456" s="5"/>
      <c r="G456" s="5"/>
      <c r="H456" s="5"/>
      <c r="I456" s="5"/>
      <c r="J456" s="5"/>
    </row>
    <row r="457" spans="2:10">
      <c r="B457" s="5"/>
      <c r="C457" s="5"/>
      <c r="D457" s="5"/>
      <c r="E457" s="5"/>
      <c r="F457" s="5"/>
      <c r="G457" s="5"/>
      <c r="H457" s="5"/>
      <c r="I457" s="5"/>
      <c r="J457" s="5"/>
    </row>
    <row r="458" spans="2:10">
      <c r="B458" s="5"/>
      <c r="C458" s="5"/>
      <c r="D458" s="5"/>
      <c r="E458" s="5"/>
      <c r="F458" s="5"/>
      <c r="G458" s="5"/>
      <c r="H458" s="5"/>
      <c r="I458" s="5"/>
      <c r="J458" s="5"/>
    </row>
    <row r="459" spans="2:10">
      <c r="B459" s="5"/>
      <c r="C459" s="5"/>
      <c r="D459" s="5"/>
      <c r="E459" s="5"/>
      <c r="F459" s="5"/>
      <c r="G459" s="5"/>
      <c r="H459" s="5"/>
      <c r="I459" s="5"/>
      <c r="J459" s="5"/>
    </row>
    <row r="460" spans="2:10">
      <c r="B460" s="5"/>
      <c r="C460" s="5"/>
      <c r="D460" s="5"/>
      <c r="E460" s="5"/>
      <c r="F460" s="5"/>
      <c r="G460" s="5"/>
      <c r="H460" s="5"/>
      <c r="I460" s="5"/>
      <c r="J460" s="5"/>
    </row>
    <row r="461" spans="2:10">
      <c r="B461" s="5"/>
      <c r="C461" s="5"/>
      <c r="D461" s="5"/>
      <c r="E461" s="5"/>
      <c r="F461" s="5"/>
      <c r="G461" s="5"/>
      <c r="H461" s="5"/>
      <c r="I461" s="5"/>
      <c r="J461" s="5"/>
    </row>
    <row r="462" spans="2:10">
      <c r="B462" s="5"/>
      <c r="C462" s="5"/>
      <c r="D462" s="5"/>
      <c r="E462" s="5"/>
      <c r="F462" s="5"/>
      <c r="G462" s="5"/>
      <c r="H462" s="5"/>
      <c r="I462" s="5"/>
      <c r="J462" s="5"/>
    </row>
    <row r="463" spans="2:10">
      <c r="B463" s="5"/>
      <c r="C463" s="5"/>
      <c r="D463" s="5"/>
      <c r="E463" s="5"/>
      <c r="F463" s="5"/>
      <c r="G463" s="5"/>
      <c r="H463" s="5"/>
      <c r="I463" s="5"/>
      <c r="J463" s="5"/>
    </row>
    <row r="464" spans="2:10">
      <c r="B464" s="5"/>
      <c r="C464" s="5"/>
      <c r="D464" s="5"/>
      <c r="E464" s="5"/>
      <c r="F464" s="5"/>
      <c r="G464" s="5"/>
      <c r="H464" s="5"/>
      <c r="I464" s="5"/>
      <c r="J464" s="5"/>
    </row>
    <row r="465" spans="2:10">
      <c r="B465" s="5"/>
      <c r="C465" s="5"/>
      <c r="D465" s="5"/>
      <c r="E465" s="5"/>
      <c r="F465" s="5"/>
      <c r="G465" s="5"/>
      <c r="H465" s="5"/>
      <c r="I465" s="5"/>
      <c r="J465" s="5"/>
    </row>
    <row r="466" spans="2:10">
      <c r="B466" s="5"/>
      <c r="C466" s="5"/>
      <c r="D466" s="5"/>
      <c r="E466" s="5"/>
      <c r="F466" s="5"/>
      <c r="G466" s="5"/>
      <c r="H466" s="5"/>
      <c r="I466" s="5"/>
      <c r="J466" s="5"/>
    </row>
    <row r="467" spans="2:10">
      <c r="B467" s="5"/>
      <c r="C467" s="5"/>
      <c r="D467" s="5"/>
      <c r="E467" s="5"/>
      <c r="F467" s="5"/>
      <c r="G467" s="5"/>
      <c r="H467" s="5"/>
      <c r="I467" s="5"/>
      <c r="J467" s="5"/>
    </row>
    <row r="468" spans="2:10">
      <c r="B468" s="5"/>
      <c r="C468" s="5"/>
      <c r="D468" s="5"/>
      <c r="E468" s="5"/>
      <c r="F468" s="5"/>
      <c r="G468" s="5"/>
      <c r="H468" s="5"/>
      <c r="I468" s="5"/>
      <c r="J468" s="5"/>
    </row>
    <row r="469" spans="2:10">
      <c r="B469" s="5"/>
      <c r="C469" s="5"/>
      <c r="D469" s="5"/>
      <c r="E469" s="5"/>
      <c r="F469" s="5"/>
      <c r="G469" s="5"/>
      <c r="H469" s="5"/>
      <c r="I469" s="5"/>
      <c r="J469" s="5"/>
    </row>
    <row r="470" spans="2:10">
      <c r="B470" s="5"/>
      <c r="C470" s="5"/>
      <c r="D470" s="5"/>
      <c r="E470" s="5"/>
      <c r="F470" s="5"/>
      <c r="G470" s="5"/>
      <c r="H470" s="5"/>
      <c r="I470" s="5"/>
      <c r="J470" s="5"/>
    </row>
    <row r="471" spans="2:10">
      <c r="B471" s="5"/>
      <c r="C471" s="5"/>
      <c r="D471" s="5"/>
      <c r="E471" s="5"/>
      <c r="F471" s="5"/>
      <c r="G471" s="5"/>
      <c r="H471" s="5"/>
      <c r="I471" s="5"/>
      <c r="J471" s="5"/>
    </row>
    <row r="472" spans="2:10">
      <c r="B472" s="5"/>
      <c r="C472" s="5"/>
      <c r="D472" s="5"/>
      <c r="E472" s="5"/>
      <c r="F472" s="5"/>
      <c r="G472" s="5"/>
      <c r="H472" s="5"/>
      <c r="I472" s="5"/>
      <c r="J472" s="5"/>
    </row>
    <row r="473" spans="2:10">
      <c r="B473" s="5"/>
      <c r="C473" s="5"/>
      <c r="D473" s="5"/>
      <c r="E473" s="5"/>
      <c r="F473" s="5"/>
      <c r="G473" s="5"/>
      <c r="H473" s="5"/>
      <c r="I473" s="5"/>
      <c r="J473" s="5"/>
    </row>
    <row r="474" spans="2:10">
      <c r="B474" s="5"/>
      <c r="C474" s="5"/>
      <c r="D474" s="5"/>
      <c r="E474" s="5"/>
      <c r="F474" s="5"/>
      <c r="G474" s="5"/>
      <c r="H474" s="5"/>
      <c r="I474" s="5"/>
      <c r="J474" s="5"/>
    </row>
    <row r="475" spans="2:10">
      <c r="B475" s="5"/>
      <c r="C475" s="5"/>
      <c r="D475" s="5"/>
      <c r="E475" s="5"/>
      <c r="F475" s="5"/>
      <c r="G475" s="5"/>
      <c r="H475" s="5"/>
      <c r="I475" s="5"/>
      <c r="J475" s="5"/>
    </row>
    <row r="476" spans="2:10">
      <c r="B476" s="5"/>
      <c r="C476" s="5"/>
      <c r="D476" s="5"/>
      <c r="E476" s="5"/>
      <c r="F476" s="5"/>
      <c r="G476" s="5"/>
      <c r="H476" s="5"/>
      <c r="I476" s="5"/>
      <c r="J476" s="5"/>
    </row>
    <row r="477" spans="2:10">
      <c r="B477" s="5"/>
      <c r="C477" s="5"/>
      <c r="D477" s="5"/>
      <c r="E477" s="5"/>
      <c r="F477" s="5"/>
      <c r="G477" s="5"/>
      <c r="H477" s="5"/>
      <c r="I477" s="5"/>
      <c r="J477" s="5"/>
    </row>
    <row r="478" spans="2:10">
      <c r="B478" s="5"/>
      <c r="C478" s="5"/>
      <c r="D478" s="5"/>
      <c r="E478" s="5"/>
      <c r="F478" s="5"/>
      <c r="G478" s="5"/>
      <c r="H478" s="5"/>
      <c r="I478" s="5"/>
      <c r="J478" s="5"/>
    </row>
    <row r="479" spans="2:10">
      <c r="B479" s="5"/>
      <c r="C479" s="5"/>
      <c r="D479" s="5"/>
      <c r="E479" s="5"/>
      <c r="F479" s="5"/>
      <c r="G479" s="5"/>
      <c r="H479" s="5"/>
      <c r="I479" s="5"/>
      <c r="J479" s="5"/>
    </row>
    <row r="480" spans="2:10">
      <c r="B480" s="5"/>
      <c r="C480" s="5"/>
      <c r="D480" s="5"/>
      <c r="E480" s="5"/>
      <c r="F480" s="5"/>
      <c r="G480" s="5"/>
      <c r="H480" s="5"/>
      <c r="I480" s="5"/>
      <c r="J480" s="5"/>
    </row>
    <row r="481" spans="2:10">
      <c r="B481" s="5"/>
      <c r="C481" s="5"/>
      <c r="D481" s="5"/>
      <c r="E481" s="5"/>
      <c r="F481" s="5"/>
      <c r="G481" s="5"/>
      <c r="H481" s="5"/>
      <c r="I481" s="5"/>
      <c r="J481" s="5"/>
    </row>
    <row r="482" spans="2:10">
      <c r="B482" s="5"/>
      <c r="C482" s="5"/>
      <c r="D482" s="5"/>
      <c r="E482" s="5"/>
      <c r="F482" s="5"/>
      <c r="G482" s="5"/>
      <c r="H482" s="5"/>
      <c r="I482" s="5"/>
      <c r="J482" s="5"/>
    </row>
    <row r="483" spans="2:10">
      <c r="B483" s="5"/>
      <c r="C483" s="5"/>
      <c r="D483" s="5"/>
      <c r="E483" s="5"/>
      <c r="F483" s="5"/>
      <c r="G483" s="5"/>
      <c r="H483" s="5"/>
      <c r="I483" s="5"/>
      <c r="J483" s="5"/>
    </row>
    <row r="484" spans="2:10">
      <c r="B484" s="5"/>
      <c r="C484" s="5"/>
      <c r="D484" s="5"/>
      <c r="E484" s="5"/>
      <c r="F484" s="5"/>
      <c r="G484" s="5"/>
      <c r="H484" s="5"/>
      <c r="I484" s="5"/>
      <c r="J484" s="5"/>
    </row>
    <row r="485" spans="2:10">
      <c r="B485" s="5"/>
      <c r="C485" s="5"/>
      <c r="D485" s="5"/>
      <c r="E485" s="5"/>
      <c r="F485" s="5"/>
      <c r="G485" s="5"/>
      <c r="H485" s="5"/>
      <c r="I485" s="5"/>
      <c r="J485" s="5"/>
    </row>
    <row r="486" spans="2:10">
      <c r="B486" s="5"/>
      <c r="C486" s="5"/>
      <c r="D486" s="5"/>
      <c r="E486" s="5"/>
      <c r="F486" s="5"/>
      <c r="G486" s="5"/>
      <c r="H486" s="5"/>
      <c r="I486" s="5"/>
      <c r="J486" s="5"/>
    </row>
    <row r="487" spans="2:10">
      <c r="B487" s="5"/>
      <c r="C487" s="5"/>
      <c r="D487" s="5"/>
      <c r="E487" s="5"/>
      <c r="F487" s="5"/>
      <c r="G487" s="5"/>
      <c r="H487" s="5"/>
      <c r="I487" s="5"/>
      <c r="J487" s="5"/>
    </row>
    <row r="488" spans="2:10">
      <c r="B488" s="5"/>
      <c r="C488" s="5"/>
      <c r="D488" s="5"/>
      <c r="E488" s="5"/>
      <c r="F488" s="5"/>
      <c r="G488" s="5"/>
      <c r="H488" s="5"/>
      <c r="I488" s="5"/>
      <c r="J488" s="5"/>
    </row>
    <row r="489" spans="2:10">
      <c r="B489" s="5"/>
      <c r="C489" s="5"/>
      <c r="D489" s="5"/>
      <c r="E489" s="5"/>
      <c r="F489" s="5"/>
      <c r="G489" s="5"/>
      <c r="H489" s="5"/>
      <c r="I489" s="5"/>
      <c r="J489" s="5"/>
    </row>
    <row r="490" spans="2:10">
      <c r="B490" s="5"/>
      <c r="C490" s="5"/>
      <c r="D490" s="5"/>
      <c r="E490" s="5"/>
      <c r="F490" s="5"/>
      <c r="G490" s="5"/>
      <c r="H490" s="5"/>
      <c r="I490" s="5"/>
      <c r="J490" s="5"/>
    </row>
    <row r="491" spans="2:10">
      <c r="B491" s="5"/>
      <c r="C491" s="5"/>
      <c r="D491" s="5"/>
      <c r="E491" s="5"/>
      <c r="F491" s="5"/>
      <c r="G491" s="5"/>
      <c r="H491" s="5"/>
      <c r="I491" s="5"/>
      <c r="J491" s="5"/>
    </row>
    <row r="492" spans="2:10">
      <c r="B492" s="5"/>
      <c r="C492" s="5"/>
      <c r="D492" s="5"/>
      <c r="E492" s="5"/>
      <c r="F492" s="5"/>
      <c r="G492" s="5"/>
      <c r="H492" s="5"/>
      <c r="I492" s="5"/>
      <c r="J492" s="5"/>
    </row>
    <row r="493" spans="2:10">
      <c r="B493" s="5"/>
      <c r="C493" s="5"/>
      <c r="D493" s="5"/>
      <c r="E493" s="5"/>
      <c r="F493" s="5"/>
      <c r="G493" s="5"/>
      <c r="H493" s="5"/>
      <c r="I493" s="5"/>
      <c r="J493" s="5"/>
    </row>
    <row r="494" spans="2:10">
      <c r="B494" s="5"/>
      <c r="C494" s="5"/>
      <c r="D494" s="5"/>
      <c r="E494" s="5"/>
      <c r="F494" s="5"/>
      <c r="G494" s="5"/>
      <c r="H494" s="5"/>
      <c r="I494" s="5"/>
      <c r="J494" s="5"/>
    </row>
    <row r="495" spans="2:10">
      <c r="B495" s="5"/>
      <c r="C495" s="5"/>
      <c r="D495" s="5"/>
      <c r="E495" s="5"/>
      <c r="F495" s="5"/>
      <c r="G495" s="5"/>
      <c r="H495" s="5"/>
      <c r="I495" s="5"/>
      <c r="J495" s="5"/>
    </row>
    <row r="496" spans="2:10">
      <c r="B496" s="5"/>
      <c r="C496" s="5"/>
      <c r="D496" s="5"/>
      <c r="E496" s="5"/>
      <c r="F496" s="5"/>
      <c r="G496" s="5"/>
      <c r="H496" s="5"/>
      <c r="I496" s="5"/>
      <c r="J496" s="5"/>
    </row>
    <row r="497" spans="2:10">
      <c r="B497" s="5"/>
      <c r="C497" s="5"/>
      <c r="D497" s="5"/>
      <c r="E497" s="5"/>
      <c r="F497" s="5"/>
      <c r="G497" s="5"/>
      <c r="H497" s="5"/>
      <c r="I497" s="5"/>
      <c r="J497" s="5"/>
    </row>
    <row r="498" spans="2:10">
      <c r="B498" s="5"/>
      <c r="C498" s="5"/>
      <c r="D498" s="5"/>
      <c r="E498" s="5"/>
      <c r="F498" s="5"/>
      <c r="G498" s="5"/>
      <c r="H498" s="5"/>
      <c r="I498" s="5"/>
      <c r="J498" s="5"/>
    </row>
    <row r="499" spans="2:10">
      <c r="B499" s="5"/>
      <c r="C499" s="5"/>
      <c r="D499" s="5"/>
      <c r="E499" s="5"/>
      <c r="F499" s="5"/>
      <c r="G499" s="5"/>
      <c r="H499" s="5"/>
      <c r="I499" s="5"/>
      <c r="J499" s="5"/>
    </row>
    <row r="500" spans="2:10">
      <c r="B500" s="5"/>
      <c r="C500" s="5"/>
      <c r="D500" s="5"/>
      <c r="E500" s="5"/>
      <c r="F500" s="5"/>
      <c r="G500" s="5"/>
      <c r="H500" s="5"/>
      <c r="I500" s="5"/>
      <c r="J500" s="5"/>
    </row>
    <row r="501" spans="2:10">
      <c r="B501" s="5"/>
      <c r="C501" s="5"/>
      <c r="D501" s="5"/>
      <c r="E501" s="5"/>
      <c r="F501" s="5"/>
      <c r="G501" s="5"/>
      <c r="H501" s="5"/>
      <c r="I501" s="5"/>
      <c r="J501" s="5"/>
    </row>
    <row r="502" spans="2:10">
      <c r="B502" s="5"/>
      <c r="C502" s="5"/>
      <c r="D502" s="5"/>
      <c r="E502" s="5"/>
      <c r="F502" s="5"/>
      <c r="G502" s="5"/>
      <c r="H502" s="5"/>
      <c r="I502" s="5"/>
      <c r="J502" s="5"/>
    </row>
    <row r="503" spans="2:10">
      <c r="B503" s="5"/>
      <c r="C503" s="5"/>
      <c r="D503" s="5"/>
      <c r="E503" s="5"/>
      <c r="F503" s="5"/>
      <c r="G503" s="5"/>
      <c r="H503" s="5"/>
      <c r="I503" s="5"/>
      <c r="J503" s="5"/>
    </row>
    <row r="504" spans="2:10">
      <c r="B504" s="5"/>
      <c r="C504" s="5"/>
      <c r="D504" s="5"/>
      <c r="E504" s="5"/>
      <c r="F504" s="5"/>
      <c r="G504" s="5"/>
      <c r="H504" s="5"/>
      <c r="I504" s="5"/>
      <c r="J504" s="5"/>
    </row>
    <row r="505" spans="2:10">
      <c r="B505" s="5"/>
      <c r="C505" s="5"/>
      <c r="D505" s="5"/>
      <c r="E505" s="5"/>
      <c r="F505" s="5"/>
      <c r="G505" s="5"/>
      <c r="H505" s="5"/>
      <c r="I505" s="5"/>
      <c r="J505" s="5"/>
    </row>
    <row r="506" spans="2:10">
      <c r="B506" s="5"/>
      <c r="C506" s="5"/>
      <c r="D506" s="5"/>
      <c r="E506" s="5"/>
      <c r="F506" s="5"/>
      <c r="G506" s="5"/>
      <c r="H506" s="5"/>
      <c r="I506" s="5"/>
      <c r="J506" s="5"/>
    </row>
    <row r="507" spans="2:10">
      <c r="B507" s="5"/>
      <c r="C507" s="5"/>
      <c r="D507" s="5"/>
      <c r="E507" s="5"/>
      <c r="F507" s="5"/>
      <c r="G507" s="5"/>
      <c r="H507" s="5"/>
      <c r="I507" s="5"/>
      <c r="J507" s="5"/>
    </row>
    <row r="508" spans="2:10">
      <c r="B508" s="5"/>
      <c r="C508" s="5"/>
      <c r="D508" s="5"/>
      <c r="E508" s="5"/>
      <c r="F508" s="5"/>
      <c r="G508" s="5"/>
      <c r="H508" s="5"/>
      <c r="I508" s="5"/>
      <c r="J508" s="5"/>
    </row>
    <row r="509" spans="2:10">
      <c r="B509" s="5"/>
      <c r="C509" s="5"/>
      <c r="D509" s="5"/>
      <c r="E509" s="5"/>
      <c r="F509" s="5"/>
      <c r="G509" s="5"/>
      <c r="H509" s="5"/>
      <c r="I509" s="5"/>
      <c r="J509" s="5"/>
    </row>
    <row r="510" spans="2:10">
      <c r="B510" s="5"/>
      <c r="C510" s="5"/>
      <c r="D510" s="5"/>
      <c r="E510" s="5"/>
      <c r="F510" s="5"/>
      <c r="G510" s="5"/>
      <c r="H510" s="5"/>
      <c r="I510" s="5"/>
      <c r="J510" s="5"/>
    </row>
    <row r="511" spans="2:10">
      <c r="B511" s="5"/>
      <c r="C511" s="5"/>
      <c r="D511" s="5"/>
      <c r="E511" s="5"/>
      <c r="F511" s="5"/>
      <c r="G511" s="5"/>
      <c r="H511" s="5"/>
      <c r="I511" s="5"/>
      <c r="J511" s="5"/>
    </row>
    <row r="512" spans="2:10">
      <c r="B512" s="5"/>
      <c r="C512" s="5"/>
      <c r="D512" s="5"/>
      <c r="E512" s="5"/>
      <c r="F512" s="5"/>
      <c r="G512" s="5"/>
      <c r="H512" s="5"/>
      <c r="I512" s="5"/>
      <c r="J512" s="5"/>
    </row>
    <row r="513" spans="2:10">
      <c r="B513" s="5"/>
      <c r="C513" s="5"/>
      <c r="D513" s="5"/>
      <c r="E513" s="5"/>
      <c r="F513" s="5"/>
      <c r="G513" s="5"/>
      <c r="H513" s="5"/>
      <c r="I513" s="5"/>
      <c r="J513" s="5"/>
    </row>
    <row r="514" spans="2:10">
      <c r="B514" s="5"/>
      <c r="C514" s="5"/>
      <c r="D514" s="5"/>
      <c r="E514" s="5"/>
      <c r="F514" s="5"/>
      <c r="G514" s="5"/>
      <c r="H514" s="5"/>
      <c r="I514" s="5"/>
      <c r="J514" s="5"/>
    </row>
    <row r="515" spans="2:10">
      <c r="B515" s="5"/>
      <c r="C515" s="5"/>
      <c r="D515" s="5"/>
      <c r="E515" s="5"/>
      <c r="F515" s="5"/>
      <c r="G515" s="5"/>
      <c r="H515" s="5"/>
      <c r="I515" s="5"/>
      <c r="J515" s="5"/>
    </row>
    <row r="516" spans="2:10">
      <c r="B516" s="5"/>
      <c r="C516" s="5"/>
      <c r="D516" s="5"/>
      <c r="E516" s="5"/>
      <c r="F516" s="5"/>
      <c r="G516" s="5"/>
      <c r="H516" s="5"/>
      <c r="I516" s="5"/>
      <c r="J516" s="5"/>
    </row>
    <row r="517" spans="2:10">
      <c r="B517" s="5"/>
      <c r="C517" s="5"/>
      <c r="D517" s="5"/>
      <c r="E517" s="5"/>
      <c r="F517" s="5"/>
      <c r="G517" s="5"/>
      <c r="H517" s="5"/>
      <c r="I517" s="5"/>
      <c r="J517" s="5"/>
    </row>
    <row r="518" spans="2:10">
      <c r="B518" s="5"/>
      <c r="C518" s="5"/>
      <c r="D518" s="5"/>
      <c r="E518" s="5"/>
      <c r="F518" s="5"/>
      <c r="G518" s="5"/>
      <c r="H518" s="5"/>
      <c r="I518" s="5"/>
      <c r="J518" s="5"/>
    </row>
    <row r="519" spans="2:10">
      <c r="B519" s="5"/>
      <c r="C519" s="5"/>
      <c r="D519" s="5"/>
      <c r="E519" s="5"/>
      <c r="F519" s="5"/>
      <c r="G519" s="5"/>
      <c r="H519" s="5"/>
      <c r="I519" s="5"/>
      <c r="J519" s="5"/>
    </row>
    <row r="520" spans="2:10">
      <c r="B520" s="5"/>
      <c r="C520" s="5"/>
      <c r="D520" s="5"/>
      <c r="E520" s="5"/>
      <c r="F520" s="5"/>
      <c r="G520" s="5"/>
      <c r="H520" s="5"/>
      <c r="I520" s="5"/>
      <c r="J520" s="5"/>
    </row>
    <row r="521" spans="2:10">
      <c r="B521" s="5"/>
      <c r="C521" s="5"/>
      <c r="D521" s="5"/>
      <c r="E521" s="5"/>
      <c r="F521" s="5"/>
      <c r="G521" s="5"/>
      <c r="H521" s="5"/>
      <c r="I521" s="5"/>
      <c r="J521" s="5"/>
    </row>
    <row r="522" spans="2:10">
      <c r="B522" s="5"/>
      <c r="C522" s="5"/>
      <c r="D522" s="5"/>
      <c r="E522" s="5"/>
      <c r="F522" s="5"/>
      <c r="G522" s="5"/>
      <c r="H522" s="5"/>
      <c r="I522" s="5"/>
      <c r="J522" s="5"/>
    </row>
    <row r="523" spans="2:10">
      <c r="B523" s="5"/>
      <c r="C523" s="5"/>
      <c r="D523" s="5"/>
      <c r="E523" s="5"/>
      <c r="F523" s="5"/>
      <c r="G523" s="5"/>
      <c r="H523" s="5"/>
      <c r="I523" s="5"/>
      <c r="J523" s="5"/>
    </row>
    <row r="524" spans="2:10">
      <c r="B524" s="5"/>
      <c r="C524" s="5"/>
      <c r="D524" s="5"/>
      <c r="E524" s="5"/>
      <c r="F524" s="5"/>
      <c r="G524" s="5"/>
      <c r="H524" s="5"/>
      <c r="I524" s="5"/>
      <c r="J524" s="5"/>
    </row>
    <row r="525" spans="2:10">
      <c r="B525" s="5"/>
      <c r="C525" s="5"/>
      <c r="D525" s="5"/>
      <c r="E525" s="5"/>
      <c r="F525" s="5"/>
      <c r="G525" s="5"/>
      <c r="H525" s="5"/>
      <c r="I525" s="5"/>
      <c r="J525" s="5"/>
    </row>
    <row r="526" spans="2:10">
      <c r="B526" s="5"/>
      <c r="C526" s="5"/>
      <c r="D526" s="5"/>
      <c r="E526" s="5"/>
      <c r="F526" s="5"/>
      <c r="G526" s="5"/>
      <c r="H526" s="5"/>
      <c r="I526" s="5"/>
      <c r="J526" s="5"/>
    </row>
    <row r="527" spans="2:10">
      <c r="B527" s="5"/>
      <c r="C527" s="5"/>
      <c r="D527" s="5"/>
      <c r="E527" s="5"/>
      <c r="F527" s="5"/>
      <c r="G527" s="5"/>
      <c r="H527" s="5"/>
      <c r="I527" s="5"/>
      <c r="J527" s="5"/>
    </row>
    <row r="528" spans="2:10">
      <c r="B528" s="5"/>
      <c r="C528" s="5"/>
      <c r="D528" s="5"/>
      <c r="E528" s="5"/>
      <c r="F528" s="5"/>
      <c r="G528" s="5"/>
      <c r="H528" s="5"/>
      <c r="I528" s="5"/>
      <c r="J528" s="5"/>
    </row>
    <row r="529" spans="2:10">
      <c r="B529" s="5"/>
      <c r="C529" s="5"/>
      <c r="D529" s="5"/>
      <c r="E529" s="5"/>
      <c r="F529" s="5"/>
      <c r="G529" s="5"/>
      <c r="H529" s="5"/>
      <c r="I529" s="5"/>
      <c r="J529" s="5"/>
    </row>
    <row r="530" spans="2:10">
      <c r="B530" s="5"/>
      <c r="C530" s="5"/>
      <c r="D530" s="5"/>
      <c r="E530" s="5"/>
      <c r="F530" s="5"/>
      <c r="G530" s="5"/>
      <c r="H530" s="5"/>
      <c r="I530" s="5"/>
      <c r="J530" s="5"/>
    </row>
    <row r="531" spans="2:10">
      <c r="B531" s="5"/>
      <c r="C531" s="5"/>
      <c r="D531" s="5"/>
      <c r="E531" s="5"/>
      <c r="F531" s="5"/>
      <c r="G531" s="5"/>
      <c r="H531" s="5"/>
      <c r="I531" s="5"/>
      <c r="J531" s="5"/>
    </row>
    <row r="532" spans="2:10">
      <c r="B532" s="5"/>
      <c r="C532" s="5"/>
      <c r="D532" s="5"/>
      <c r="E532" s="5"/>
      <c r="F532" s="5"/>
      <c r="G532" s="5"/>
      <c r="H532" s="5"/>
      <c r="I532" s="5"/>
      <c r="J532" s="5"/>
    </row>
    <row r="533" spans="2:10">
      <c r="B533" s="5"/>
      <c r="C533" s="5"/>
      <c r="D533" s="5"/>
      <c r="E533" s="5"/>
      <c r="F533" s="5"/>
      <c r="G533" s="5"/>
      <c r="H533" s="5"/>
      <c r="I533" s="5"/>
      <c r="J533" s="5"/>
    </row>
    <row r="534" spans="2:10">
      <c r="B534" s="5"/>
      <c r="C534" s="5"/>
      <c r="D534" s="5"/>
      <c r="E534" s="5"/>
      <c r="F534" s="5"/>
      <c r="G534" s="5"/>
      <c r="H534" s="5"/>
      <c r="I534" s="5"/>
      <c r="J534" s="5"/>
    </row>
    <row r="535" spans="2:10">
      <c r="B535" s="5"/>
      <c r="C535" s="5"/>
      <c r="D535" s="5"/>
      <c r="E535" s="5"/>
      <c r="F535" s="5"/>
      <c r="G535" s="5"/>
      <c r="H535" s="5"/>
      <c r="I535" s="5"/>
      <c r="J535" s="5"/>
    </row>
    <row r="536" spans="2:10">
      <c r="B536" s="5"/>
      <c r="C536" s="5"/>
      <c r="D536" s="5"/>
      <c r="E536" s="5"/>
      <c r="F536" s="5"/>
      <c r="G536" s="5"/>
      <c r="H536" s="5"/>
      <c r="I536" s="5"/>
      <c r="J536" s="5"/>
    </row>
    <row r="537" spans="2:10">
      <c r="B537" s="5"/>
      <c r="C537" s="5"/>
      <c r="D537" s="5"/>
      <c r="E537" s="5"/>
      <c r="F537" s="5"/>
      <c r="G537" s="5"/>
      <c r="H537" s="5"/>
      <c r="I537" s="5"/>
      <c r="J537" s="5"/>
    </row>
    <row r="538" spans="2:10">
      <c r="B538" s="5"/>
      <c r="C538" s="5"/>
      <c r="D538" s="5"/>
      <c r="E538" s="5"/>
      <c r="F538" s="5"/>
      <c r="G538" s="5"/>
      <c r="H538" s="5"/>
      <c r="I538" s="5"/>
      <c r="J538" s="5"/>
    </row>
    <row r="539" spans="2:10">
      <c r="B539" s="5"/>
      <c r="C539" s="5"/>
      <c r="D539" s="5"/>
      <c r="E539" s="5"/>
      <c r="F539" s="5"/>
      <c r="G539" s="5"/>
      <c r="H539" s="5"/>
      <c r="I539" s="5"/>
      <c r="J539" s="5"/>
    </row>
    <row r="540" spans="2:10">
      <c r="B540" s="5"/>
      <c r="C540" s="5"/>
      <c r="D540" s="5"/>
      <c r="E540" s="5"/>
      <c r="F540" s="5"/>
      <c r="G540" s="5"/>
      <c r="H540" s="5"/>
      <c r="I540" s="5"/>
      <c r="J540" s="5"/>
    </row>
    <row r="541" spans="2:10">
      <c r="B541" s="5"/>
      <c r="C541" s="5"/>
      <c r="D541" s="5"/>
      <c r="E541" s="5"/>
      <c r="F541" s="5"/>
      <c r="G541" s="5"/>
      <c r="H541" s="5"/>
      <c r="I541" s="5"/>
      <c r="J541" s="5"/>
    </row>
    <row r="542" spans="2:10">
      <c r="B542" s="5"/>
      <c r="C542" s="5"/>
      <c r="D542" s="5"/>
      <c r="E542" s="5"/>
      <c r="F542" s="5"/>
      <c r="G542" s="5"/>
      <c r="H542" s="5"/>
      <c r="I542" s="5"/>
      <c r="J542" s="5"/>
    </row>
    <row r="543" spans="2:10">
      <c r="B543" s="5"/>
      <c r="C543" s="5"/>
      <c r="D543" s="5"/>
      <c r="E543" s="5"/>
      <c r="F543" s="5"/>
      <c r="G543" s="5"/>
      <c r="H543" s="5"/>
      <c r="I543" s="5"/>
      <c r="J543" s="5"/>
    </row>
    <row r="544" spans="2:10">
      <c r="B544" s="5"/>
      <c r="C544" s="5"/>
      <c r="D544" s="5"/>
      <c r="E544" s="5"/>
      <c r="F544" s="5"/>
      <c r="G544" s="5"/>
      <c r="H544" s="5"/>
      <c r="I544" s="5"/>
      <c r="J544" s="5"/>
    </row>
    <row r="545" spans="2:10">
      <c r="B545" s="5"/>
      <c r="C545" s="5"/>
      <c r="D545" s="5"/>
      <c r="E545" s="5"/>
      <c r="F545" s="5"/>
      <c r="G545" s="5"/>
      <c r="H545" s="5"/>
      <c r="I545" s="5"/>
      <c r="J545" s="5"/>
    </row>
    <row r="546" spans="2:10">
      <c r="B546" s="5"/>
      <c r="C546" s="5"/>
      <c r="D546" s="5"/>
      <c r="E546" s="5"/>
      <c r="F546" s="5"/>
      <c r="G546" s="5"/>
      <c r="H546" s="5"/>
      <c r="I546" s="5"/>
      <c r="J546" s="5"/>
    </row>
    <row r="547" spans="2:10">
      <c r="B547" s="5"/>
      <c r="C547" s="5"/>
      <c r="D547" s="5"/>
      <c r="E547" s="5"/>
      <c r="F547" s="5"/>
      <c r="G547" s="5"/>
      <c r="H547" s="5"/>
      <c r="I547" s="5"/>
      <c r="J547" s="5"/>
    </row>
    <row r="548" spans="2:10">
      <c r="B548" s="5"/>
      <c r="C548" s="5"/>
      <c r="D548" s="5"/>
      <c r="E548" s="5"/>
      <c r="F548" s="5"/>
      <c r="G548" s="5"/>
      <c r="H548" s="5"/>
      <c r="I548" s="5"/>
      <c r="J548" s="5"/>
    </row>
    <row r="549" spans="2:10">
      <c r="B549" s="5"/>
      <c r="C549" s="5"/>
      <c r="D549" s="5"/>
      <c r="E549" s="5"/>
      <c r="F549" s="5"/>
      <c r="G549" s="5"/>
      <c r="H549" s="5"/>
      <c r="I549" s="5"/>
      <c r="J549" s="5"/>
    </row>
    <row r="550" spans="2:10">
      <c r="B550" s="5"/>
      <c r="C550" s="5"/>
      <c r="D550" s="5"/>
      <c r="E550" s="5"/>
      <c r="F550" s="5"/>
      <c r="G550" s="5"/>
      <c r="H550" s="5"/>
      <c r="I550" s="5"/>
      <c r="J550" s="5"/>
    </row>
    <row r="551" spans="2:10">
      <c r="B551" s="5"/>
      <c r="C551" s="5"/>
      <c r="D551" s="5"/>
      <c r="E551" s="5"/>
      <c r="F551" s="5"/>
      <c r="G551" s="5"/>
      <c r="H551" s="5"/>
      <c r="I551" s="5"/>
      <c r="J551" s="5"/>
    </row>
    <row r="552" spans="2:10">
      <c r="B552" s="5"/>
      <c r="C552" s="5"/>
      <c r="D552" s="5"/>
      <c r="E552" s="5"/>
      <c r="F552" s="5"/>
      <c r="G552" s="5"/>
      <c r="H552" s="5"/>
      <c r="I552" s="5"/>
      <c r="J552" s="5"/>
    </row>
    <row r="553" spans="2:10">
      <c r="B553" s="5"/>
      <c r="C553" s="5"/>
      <c r="D553" s="5"/>
      <c r="E553" s="5"/>
      <c r="F553" s="5"/>
      <c r="G553" s="5"/>
      <c r="H553" s="5"/>
      <c r="I553" s="5"/>
      <c r="J553" s="5"/>
    </row>
    <row r="554" spans="2:10">
      <c r="B554" s="5"/>
      <c r="C554" s="5"/>
      <c r="D554" s="5"/>
      <c r="E554" s="5"/>
      <c r="F554" s="5"/>
      <c r="G554" s="5"/>
      <c r="H554" s="5"/>
      <c r="I554" s="5"/>
      <c r="J554" s="5"/>
    </row>
    <row r="555" spans="2:10">
      <c r="B555" s="5"/>
      <c r="C555" s="5"/>
      <c r="D555" s="5"/>
      <c r="E555" s="5"/>
      <c r="F555" s="5"/>
      <c r="G555" s="5"/>
      <c r="H555" s="5"/>
      <c r="I555" s="5"/>
      <c r="J555" s="5"/>
    </row>
    <row r="556" spans="2:10">
      <c r="B556" s="5"/>
      <c r="C556" s="5"/>
      <c r="D556" s="5"/>
      <c r="E556" s="5"/>
      <c r="F556" s="5"/>
      <c r="G556" s="5"/>
      <c r="H556" s="5"/>
      <c r="I556" s="5"/>
      <c r="J556" s="5"/>
    </row>
    <row r="557" spans="2:10">
      <c r="B557" s="5"/>
      <c r="C557" s="5"/>
      <c r="D557" s="5"/>
      <c r="E557" s="5"/>
      <c r="F557" s="5"/>
      <c r="G557" s="5"/>
      <c r="H557" s="5"/>
      <c r="I557" s="5"/>
      <c r="J557" s="5"/>
    </row>
    <row r="558" spans="2:10">
      <c r="B558" s="5"/>
      <c r="C558" s="5"/>
      <c r="D558" s="5"/>
      <c r="E558" s="5"/>
      <c r="F558" s="5"/>
      <c r="G558" s="5"/>
      <c r="H558" s="5"/>
      <c r="I558" s="5"/>
      <c r="J558" s="5"/>
    </row>
    <row r="559" spans="2:10">
      <c r="B559" s="5"/>
      <c r="C559" s="5"/>
      <c r="D559" s="5"/>
      <c r="E559" s="5"/>
      <c r="F559" s="5"/>
      <c r="G559" s="5"/>
      <c r="H559" s="5"/>
      <c r="I559" s="5"/>
      <c r="J559" s="5"/>
    </row>
    <row r="560" spans="2:10">
      <c r="B560" s="5"/>
      <c r="C560" s="5"/>
      <c r="D560" s="5"/>
      <c r="E560" s="5"/>
      <c r="F560" s="5"/>
      <c r="G560" s="5"/>
      <c r="H560" s="5"/>
      <c r="I560" s="5"/>
      <c r="J560" s="5"/>
    </row>
    <row r="561" spans="2:10">
      <c r="B561" s="5"/>
      <c r="C561" s="5"/>
      <c r="D561" s="5"/>
      <c r="E561" s="5"/>
      <c r="F561" s="5"/>
      <c r="G561" s="5"/>
      <c r="H561" s="5"/>
      <c r="I561" s="5"/>
      <c r="J561" s="5"/>
    </row>
    <row r="562" spans="2:10">
      <c r="B562" s="5"/>
      <c r="C562" s="5"/>
      <c r="D562" s="5"/>
      <c r="E562" s="5"/>
      <c r="F562" s="5"/>
      <c r="G562" s="5"/>
      <c r="H562" s="5"/>
      <c r="I562" s="5"/>
      <c r="J562" s="5"/>
    </row>
    <row r="563" spans="2:10">
      <c r="B563" s="5"/>
      <c r="C563" s="5"/>
      <c r="D563" s="5"/>
      <c r="E563" s="5"/>
      <c r="F563" s="5"/>
      <c r="G563" s="5"/>
      <c r="H563" s="5"/>
      <c r="I563" s="5"/>
      <c r="J563" s="5"/>
    </row>
    <row r="564" spans="2:10">
      <c r="B564" s="5"/>
      <c r="C564" s="5"/>
      <c r="D564" s="5"/>
      <c r="E564" s="5"/>
      <c r="F564" s="5"/>
      <c r="G564" s="5"/>
      <c r="H564" s="5"/>
      <c r="I564" s="5"/>
      <c r="J564" s="5"/>
    </row>
    <row r="565" spans="2:10">
      <c r="B565" s="5"/>
      <c r="C565" s="5"/>
      <c r="D565" s="5"/>
      <c r="E565" s="5"/>
      <c r="F565" s="5"/>
      <c r="G565" s="5"/>
      <c r="H565" s="5"/>
      <c r="I565" s="5"/>
      <c r="J565" s="5"/>
    </row>
    <row r="566" spans="2:10">
      <c r="B566" s="5"/>
      <c r="C566" s="5"/>
      <c r="D566" s="5"/>
      <c r="E566" s="5"/>
      <c r="F566" s="5"/>
      <c r="G566" s="5"/>
      <c r="H566" s="5"/>
      <c r="I566" s="5"/>
      <c r="J566" s="5"/>
    </row>
    <row r="567" spans="2:10">
      <c r="B567" s="5"/>
      <c r="C567" s="5"/>
      <c r="D567" s="5"/>
      <c r="E567" s="5"/>
      <c r="F567" s="5"/>
      <c r="G567" s="5"/>
      <c r="H567" s="5"/>
      <c r="I567" s="5"/>
      <c r="J567" s="5"/>
    </row>
    <row r="568" spans="2:10">
      <c r="B568" s="5"/>
      <c r="C568" s="5"/>
      <c r="D568" s="5"/>
      <c r="E568" s="5"/>
      <c r="F568" s="5"/>
      <c r="G568" s="5"/>
      <c r="H568" s="5"/>
      <c r="I568" s="5"/>
      <c r="J568" s="5"/>
    </row>
    <row r="569" spans="2:10">
      <c r="B569" s="5"/>
      <c r="C569" s="5"/>
      <c r="D569" s="5"/>
      <c r="E569" s="5"/>
      <c r="F569" s="5"/>
      <c r="G569" s="5"/>
      <c r="H569" s="5"/>
      <c r="I569" s="5"/>
      <c r="J569" s="5"/>
    </row>
    <row r="570" spans="2:10">
      <c r="B570" s="5"/>
      <c r="C570" s="5"/>
      <c r="D570" s="5"/>
      <c r="E570" s="5"/>
      <c r="F570" s="5"/>
      <c r="G570" s="5"/>
      <c r="H570" s="5"/>
      <c r="I570" s="5"/>
      <c r="J570" s="5"/>
    </row>
    <row r="571" spans="2:10">
      <c r="B571" s="5"/>
      <c r="C571" s="5"/>
      <c r="D571" s="5"/>
      <c r="E571" s="5"/>
      <c r="F571" s="5"/>
      <c r="G571" s="5"/>
      <c r="H571" s="5"/>
      <c r="I571" s="5"/>
      <c r="J571" s="5"/>
    </row>
    <row r="572" spans="2:10">
      <c r="B572" s="5"/>
      <c r="C572" s="5"/>
      <c r="D572" s="5"/>
      <c r="E572" s="5"/>
      <c r="F572" s="5"/>
      <c r="G572" s="5"/>
      <c r="H572" s="5"/>
      <c r="I572" s="5"/>
      <c r="J572" s="5"/>
    </row>
    <row r="573" spans="2:10">
      <c r="B573" s="5"/>
      <c r="C573" s="5"/>
      <c r="D573" s="5"/>
      <c r="E573" s="5"/>
      <c r="F573" s="5"/>
      <c r="G573" s="5"/>
      <c r="H573" s="5"/>
      <c r="I573" s="5"/>
      <c r="J573" s="5"/>
    </row>
    <row r="574" spans="2:10">
      <c r="B574" s="5"/>
      <c r="C574" s="5"/>
      <c r="D574" s="5"/>
      <c r="E574" s="5"/>
      <c r="F574" s="5"/>
      <c r="G574" s="5"/>
      <c r="H574" s="5"/>
      <c r="I574" s="5"/>
      <c r="J574" s="5"/>
    </row>
    <row r="575" spans="2:10">
      <c r="B575" s="5"/>
      <c r="C575" s="5"/>
      <c r="D575" s="5"/>
      <c r="E575" s="5"/>
      <c r="F575" s="5"/>
      <c r="G575" s="5"/>
      <c r="H575" s="5"/>
      <c r="I575" s="5"/>
      <c r="J575" s="5"/>
    </row>
    <row r="576" spans="2:10">
      <c r="B576" s="5"/>
      <c r="C576" s="5"/>
      <c r="D576" s="5"/>
      <c r="E576" s="5"/>
      <c r="F576" s="5"/>
      <c r="G576" s="5"/>
      <c r="H576" s="5"/>
      <c r="I576" s="5"/>
      <c r="J576" s="5"/>
    </row>
    <row r="577" spans="2:10">
      <c r="B577" s="5"/>
      <c r="C577" s="5"/>
      <c r="D577" s="5"/>
      <c r="E577" s="5"/>
      <c r="F577" s="5"/>
      <c r="G577" s="5"/>
      <c r="H577" s="5"/>
      <c r="I577" s="5"/>
      <c r="J577" s="5"/>
    </row>
    <row r="578" spans="2:10">
      <c r="B578" s="5"/>
      <c r="C578" s="5"/>
      <c r="D578" s="5"/>
      <c r="E578" s="5"/>
      <c r="F578" s="5"/>
      <c r="G578" s="5"/>
      <c r="H578" s="5"/>
      <c r="I578" s="5"/>
      <c r="J578" s="5"/>
    </row>
    <row r="579" spans="2:10">
      <c r="B579" s="5"/>
      <c r="C579" s="5"/>
      <c r="D579" s="5"/>
      <c r="E579" s="5"/>
      <c r="F579" s="5"/>
      <c r="G579" s="5"/>
      <c r="H579" s="5"/>
      <c r="I579" s="5"/>
      <c r="J579" s="5"/>
    </row>
    <row r="580" spans="2:10">
      <c r="B580" s="5"/>
      <c r="C580" s="5"/>
      <c r="D580" s="5"/>
      <c r="E580" s="5"/>
      <c r="F580" s="5"/>
      <c r="G580" s="5"/>
      <c r="H580" s="5"/>
      <c r="I580" s="5"/>
      <c r="J580" s="5"/>
    </row>
    <row r="581" spans="2:10">
      <c r="B581" s="5"/>
      <c r="C581" s="5"/>
      <c r="D581" s="5"/>
      <c r="E581" s="5"/>
      <c r="F581" s="5"/>
      <c r="G581" s="5"/>
      <c r="H581" s="5"/>
      <c r="I581" s="5"/>
      <c r="J581" s="5"/>
    </row>
    <row r="582" spans="2:10">
      <c r="B582" s="5"/>
      <c r="C582" s="5"/>
      <c r="D582" s="5"/>
      <c r="E582" s="5"/>
      <c r="F582" s="5"/>
      <c r="G582" s="5"/>
      <c r="H582" s="5"/>
      <c r="I582" s="5"/>
      <c r="J582" s="5"/>
    </row>
    <row r="583" spans="2:10">
      <c r="B583" s="5"/>
      <c r="C583" s="5"/>
      <c r="D583" s="5"/>
      <c r="E583" s="5"/>
      <c r="F583" s="5"/>
      <c r="G583" s="5"/>
      <c r="H583" s="5"/>
      <c r="I583" s="5"/>
      <c r="J583" s="5"/>
    </row>
    <row r="584" spans="2:10">
      <c r="B584" s="5"/>
      <c r="C584" s="5"/>
      <c r="D584" s="5"/>
      <c r="E584" s="5"/>
      <c r="F584" s="5"/>
      <c r="G584" s="5"/>
      <c r="H584" s="5"/>
      <c r="I584" s="5"/>
      <c r="J584" s="5"/>
    </row>
    <row r="585" spans="2:10">
      <c r="B585" s="5"/>
      <c r="C585" s="5"/>
      <c r="D585" s="5"/>
      <c r="E585" s="5"/>
      <c r="F585" s="5"/>
      <c r="G585" s="5"/>
      <c r="H585" s="5"/>
      <c r="I585" s="5"/>
      <c r="J585" s="5"/>
    </row>
    <row r="586" spans="2:10">
      <c r="B586" s="5"/>
      <c r="C586" s="5"/>
      <c r="D586" s="5"/>
      <c r="E586" s="5"/>
      <c r="F586" s="5"/>
      <c r="G586" s="5"/>
      <c r="H586" s="5"/>
      <c r="I586" s="5"/>
      <c r="J586" s="5"/>
    </row>
    <row r="587" spans="2:10">
      <c r="B587" s="5"/>
      <c r="C587" s="5"/>
      <c r="D587" s="5"/>
      <c r="E587" s="5"/>
      <c r="F587" s="5"/>
      <c r="G587" s="5"/>
      <c r="H587" s="5"/>
      <c r="I587" s="5"/>
      <c r="J587" s="5"/>
    </row>
    <row r="588" spans="2:10">
      <c r="B588" s="5"/>
      <c r="C588" s="5"/>
      <c r="D588" s="5"/>
      <c r="E588" s="5"/>
      <c r="F588" s="5"/>
      <c r="G588" s="5"/>
      <c r="H588" s="5"/>
      <c r="I588" s="5"/>
      <c r="J588" s="5"/>
    </row>
    <row r="589" spans="2:10">
      <c r="B589" s="5"/>
      <c r="C589" s="5"/>
      <c r="D589" s="5"/>
      <c r="E589" s="5"/>
      <c r="F589" s="5"/>
      <c r="G589" s="5"/>
      <c r="H589" s="5"/>
      <c r="I589" s="5"/>
      <c r="J589" s="5"/>
    </row>
    <row r="590" spans="2:10">
      <c r="B590" s="5"/>
      <c r="C590" s="5"/>
      <c r="D590" s="5"/>
      <c r="E590" s="5"/>
      <c r="F590" s="5"/>
      <c r="G590" s="5"/>
      <c r="H590" s="5"/>
      <c r="I590" s="5"/>
      <c r="J590" s="5"/>
    </row>
    <row r="591" spans="2:10">
      <c r="B591" s="5"/>
      <c r="C591" s="5"/>
      <c r="D591" s="5"/>
      <c r="E591" s="5"/>
      <c r="F591" s="5"/>
      <c r="G591" s="5"/>
      <c r="H591" s="5"/>
      <c r="I591" s="5"/>
      <c r="J591" s="5"/>
    </row>
    <row r="592" spans="2:10">
      <c r="B592" s="5"/>
      <c r="C592" s="5"/>
      <c r="D592" s="5"/>
      <c r="E592" s="5"/>
      <c r="F592" s="5"/>
      <c r="G592" s="5"/>
      <c r="H592" s="5"/>
      <c r="I592" s="5"/>
      <c r="J592" s="5"/>
    </row>
    <row r="593" spans="2:10">
      <c r="B593" s="5"/>
      <c r="C593" s="5"/>
      <c r="D593" s="5"/>
      <c r="E593" s="5"/>
      <c r="F593" s="5"/>
      <c r="G593" s="5"/>
      <c r="H593" s="5"/>
      <c r="I593" s="5"/>
      <c r="J593" s="5"/>
    </row>
    <row r="594" spans="2:10">
      <c r="B594" s="5"/>
      <c r="C594" s="5"/>
      <c r="D594" s="5"/>
      <c r="E594" s="5"/>
      <c r="F594" s="5"/>
      <c r="G594" s="5"/>
      <c r="H594" s="5"/>
      <c r="I594" s="5"/>
      <c r="J594" s="5"/>
    </row>
    <row r="595" spans="2:10">
      <c r="B595" s="5"/>
      <c r="C595" s="5"/>
      <c r="D595" s="5"/>
      <c r="E595" s="5"/>
      <c r="F595" s="5"/>
      <c r="G595" s="5"/>
      <c r="H595" s="5"/>
      <c r="I595" s="5"/>
      <c r="J595" s="5"/>
    </row>
    <row r="596" spans="2:10">
      <c r="B596" s="5"/>
      <c r="C596" s="5"/>
      <c r="D596" s="5"/>
      <c r="E596" s="5"/>
      <c r="F596" s="5"/>
      <c r="G596" s="5"/>
      <c r="H596" s="5"/>
      <c r="I596" s="5"/>
      <c r="J596" s="5"/>
    </row>
    <row r="597" spans="2:10">
      <c r="B597" s="5"/>
      <c r="C597" s="5"/>
      <c r="D597" s="5"/>
      <c r="E597" s="5"/>
      <c r="F597" s="5"/>
      <c r="G597" s="5"/>
      <c r="H597" s="5"/>
      <c r="I597" s="5"/>
      <c r="J597" s="5"/>
    </row>
    <row r="598" spans="2:10">
      <c r="B598" s="5"/>
      <c r="C598" s="5"/>
      <c r="D598" s="5"/>
      <c r="E598" s="5"/>
      <c r="F598" s="5"/>
      <c r="G598" s="5"/>
      <c r="H598" s="5"/>
      <c r="I598" s="5"/>
      <c r="J598" s="5"/>
    </row>
    <row r="599" spans="2:10">
      <c r="B599" s="5"/>
      <c r="C599" s="5"/>
      <c r="D599" s="5"/>
      <c r="E599" s="5"/>
      <c r="F599" s="5"/>
      <c r="G599" s="5"/>
      <c r="H599" s="5"/>
      <c r="I599" s="5"/>
      <c r="J599" s="5"/>
    </row>
    <row r="600" spans="2:10">
      <c r="B600" s="5"/>
      <c r="C600" s="5"/>
      <c r="D600" s="5"/>
      <c r="E600" s="5"/>
      <c r="F600" s="5"/>
      <c r="G600" s="5"/>
      <c r="H600" s="5"/>
      <c r="I600" s="5"/>
      <c r="J600" s="5"/>
    </row>
    <row r="601" spans="2:10">
      <c r="B601" s="5"/>
      <c r="C601" s="5"/>
      <c r="D601" s="5"/>
      <c r="E601" s="5"/>
      <c r="F601" s="5"/>
      <c r="G601" s="5"/>
      <c r="H601" s="5"/>
      <c r="I601" s="5"/>
      <c r="J601" s="5"/>
    </row>
    <row r="602" spans="2:10">
      <c r="B602" s="5"/>
      <c r="C602" s="5"/>
      <c r="D602" s="5"/>
      <c r="E602" s="5"/>
      <c r="F602" s="5"/>
      <c r="G602" s="5"/>
      <c r="H602" s="5"/>
      <c r="I602" s="5"/>
      <c r="J602" s="5"/>
    </row>
    <row r="603" spans="2:10">
      <c r="B603" s="5"/>
      <c r="C603" s="5"/>
      <c r="D603" s="5"/>
      <c r="E603" s="5"/>
      <c r="F603" s="5"/>
      <c r="G603" s="5"/>
      <c r="H603" s="5"/>
      <c r="I603" s="5"/>
      <c r="J603" s="5"/>
    </row>
    <row r="604" spans="2:10">
      <c r="B604" s="5"/>
      <c r="C604" s="5"/>
      <c r="D604" s="5"/>
      <c r="E604" s="5"/>
      <c r="F604" s="5"/>
      <c r="G604" s="5"/>
      <c r="H604" s="5"/>
      <c r="I604" s="5"/>
      <c r="J604" s="5"/>
    </row>
    <row r="605" spans="2:10">
      <c r="B605" s="5"/>
      <c r="C605" s="5"/>
      <c r="D605" s="5"/>
      <c r="E605" s="5"/>
      <c r="F605" s="5"/>
      <c r="G605" s="5"/>
      <c r="H605" s="5"/>
      <c r="I605" s="5"/>
      <c r="J605" s="5"/>
    </row>
    <row r="606" spans="2:10">
      <c r="B606" s="5"/>
      <c r="C606" s="5"/>
      <c r="D606" s="5"/>
      <c r="E606" s="5"/>
      <c r="F606" s="5"/>
      <c r="G606" s="5"/>
      <c r="H606" s="5"/>
      <c r="I606" s="5"/>
      <c r="J606" s="5"/>
    </row>
    <row r="607" spans="2:10">
      <c r="B607" s="5"/>
      <c r="C607" s="5"/>
      <c r="D607" s="5"/>
      <c r="E607" s="5"/>
      <c r="F607" s="5"/>
      <c r="G607" s="5"/>
      <c r="H607" s="5"/>
      <c r="I607" s="5"/>
      <c r="J607" s="5"/>
    </row>
    <row r="608" spans="2:10">
      <c r="B608" s="5"/>
      <c r="C608" s="5"/>
      <c r="D608" s="5"/>
      <c r="E608" s="5"/>
      <c r="F608" s="5"/>
      <c r="G608" s="5"/>
      <c r="H608" s="5"/>
      <c r="I608" s="5"/>
      <c r="J608" s="5"/>
    </row>
    <row r="609" spans="2:10">
      <c r="B609" s="5"/>
      <c r="C609" s="5"/>
      <c r="D609" s="5"/>
      <c r="E609" s="5"/>
      <c r="F609" s="5"/>
      <c r="G609" s="5"/>
      <c r="H609" s="5"/>
      <c r="I609" s="5"/>
      <c r="J609" s="5"/>
    </row>
    <row r="610" spans="2:10">
      <c r="B610" s="5"/>
      <c r="C610" s="5"/>
      <c r="D610" s="5"/>
      <c r="E610" s="5"/>
      <c r="F610" s="5"/>
      <c r="G610" s="5"/>
      <c r="H610" s="5"/>
      <c r="I610" s="5"/>
      <c r="J610" s="5"/>
    </row>
    <row r="611" spans="2:10">
      <c r="B611" s="5"/>
      <c r="C611" s="5"/>
      <c r="D611" s="5"/>
      <c r="E611" s="5"/>
      <c r="F611" s="5"/>
      <c r="G611" s="5"/>
      <c r="H611" s="5"/>
      <c r="I611" s="5"/>
      <c r="J611" s="5"/>
    </row>
    <row r="612" spans="2:10">
      <c r="B612" s="5"/>
      <c r="C612" s="5"/>
      <c r="D612" s="5"/>
      <c r="E612" s="5"/>
      <c r="F612" s="5"/>
      <c r="G612" s="5"/>
      <c r="H612" s="5"/>
      <c r="I612" s="5"/>
      <c r="J612" s="5"/>
    </row>
    <row r="613" spans="2:10">
      <c r="B613" s="5"/>
      <c r="C613" s="5"/>
      <c r="D613" s="5"/>
      <c r="E613" s="5"/>
      <c r="F613" s="5"/>
      <c r="G613" s="5"/>
      <c r="H613" s="5"/>
      <c r="I613" s="5"/>
      <c r="J613" s="5"/>
    </row>
    <row r="614" spans="2:10">
      <c r="B614" s="5"/>
      <c r="C614" s="5"/>
      <c r="D614" s="5"/>
      <c r="E614" s="5"/>
      <c r="F614" s="5"/>
      <c r="G614" s="5"/>
      <c r="H614" s="5"/>
      <c r="I614" s="5"/>
      <c r="J614" s="5"/>
    </row>
    <row r="615" spans="2:10">
      <c r="B615" s="5"/>
      <c r="C615" s="5"/>
      <c r="D615" s="5"/>
      <c r="E615" s="5"/>
      <c r="F615" s="5"/>
      <c r="G615" s="5"/>
      <c r="H615" s="5"/>
      <c r="I615" s="5"/>
      <c r="J615" s="5"/>
    </row>
    <row r="616" spans="2:10">
      <c r="B616" s="5"/>
      <c r="C616" s="5"/>
      <c r="D616" s="5"/>
      <c r="E616" s="5"/>
      <c r="F616" s="5"/>
      <c r="G616" s="5"/>
      <c r="H616" s="5"/>
      <c r="I616" s="5"/>
      <c r="J616" s="5"/>
    </row>
    <row r="617" spans="2:10">
      <c r="B617" s="5"/>
      <c r="C617" s="5"/>
      <c r="D617" s="5"/>
      <c r="E617" s="5"/>
      <c r="F617" s="5"/>
      <c r="G617" s="5"/>
      <c r="H617" s="5"/>
      <c r="I617" s="5"/>
      <c r="J617" s="5"/>
    </row>
    <row r="618" spans="2:10">
      <c r="B618" s="5"/>
      <c r="C618" s="5"/>
      <c r="D618" s="5"/>
      <c r="E618" s="5"/>
      <c r="F618" s="5"/>
      <c r="G618" s="5"/>
      <c r="H618" s="5"/>
      <c r="I618" s="5"/>
      <c r="J618" s="5"/>
    </row>
    <row r="619" spans="2:10">
      <c r="B619" s="5"/>
      <c r="C619" s="5"/>
      <c r="D619" s="5"/>
      <c r="E619" s="5"/>
      <c r="F619" s="5"/>
      <c r="G619" s="5"/>
      <c r="H619" s="5"/>
      <c r="I619" s="5"/>
      <c r="J619" s="5"/>
    </row>
    <row r="620" spans="2:10">
      <c r="B620" s="5"/>
      <c r="C620" s="5"/>
      <c r="D620" s="5"/>
      <c r="E620" s="5"/>
      <c r="F620" s="5"/>
      <c r="G620" s="5"/>
      <c r="H620" s="5"/>
      <c r="I620" s="5"/>
      <c r="J620" s="5"/>
    </row>
    <row r="621" spans="2:10">
      <c r="B621" s="5"/>
      <c r="C621" s="5"/>
      <c r="D621" s="5"/>
      <c r="E621" s="5"/>
      <c r="F621" s="5"/>
      <c r="G621" s="5"/>
      <c r="H621" s="5"/>
      <c r="I621" s="5"/>
      <c r="J621" s="5"/>
    </row>
    <row r="622" spans="2:10">
      <c r="B622" s="5"/>
      <c r="C622" s="5"/>
      <c r="D622" s="5"/>
      <c r="E622" s="5"/>
      <c r="F622" s="5"/>
      <c r="G622" s="5"/>
      <c r="H622" s="5"/>
      <c r="I622" s="5"/>
      <c r="J622" s="5"/>
    </row>
    <row r="623" spans="2:10">
      <c r="B623" s="5"/>
      <c r="C623" s="5"/>
      <c r="D623" s="5"/>
      <c r="E623" s="5"/>
      <c r="F623" s="5"/>
      <c r="G623" s="5"/>
      <c r="H623" s="5"/>
      <c r="I623" s="5"/>
      <c r="J623" s="5"/>
    </row>
    <row r="624" spans="2:10">
      <c r="B624" s="5"/>
      <c r="C624" s="5"/>
      <c r="D624" s="5"/>
      <c r="E624" s="5"/>
      <c r="F624" s="5"/>
      <c r="G624" s="5"/>
      <c r="H624" s="5"/>
      <c r="I624" s="5"/>
      <c r="J624" s="5"/>
    </row>
    <row r="625" spans="2:10">
      <c r="B625" s="5"/>
      <c r="C625" s="5"/>
      <c r="D625" s="5"/>
      <c r="E625" s="5"/>
      <c r="F625" s="5"/>
      <c r="G625" s="5"/>
      <c r="H625" s="5"/>
      <c r="I625" s="5"/>
      <c r="J625" s="5"/>
    </row>
    <row r="626" spans="2:10">
      <c r="B626" s="5"/>
      <c r="C626" s="5"/>
      <c r="D626" s="5"/>
      <c r="E626" s="5"/>
      <c r="F626" s="5"/>
      <c r="G626" s="5"/>
      <c r="H626" s="5"/>
      <c r="I626" s="5"/>
      <c r="J626" s="5"/>
    </row>
    <row r="627" spans="2:10">
      <c r="B627" s="5"/>
      <c r="C627" s="5"/>
      <c r="D627" s="5"/>
      <c r="E627" s="5"/>
      <c r="F627" s="5"/>
      <c r="G627" s="5"/>
      <c r="H627" s="5"/>
      <c r="I627" s="5"/>
      <c r="J627" s="5"/>
    </row>
    <row r="628" spans="2:10">
      <c r="B628" s="5"/>
      <c r="C628" s="5"/>
      <c r="D628" s="5"/>
      <c r="E628" s="5"/>
      <c r="F628" s="5"/>
      <c r="G628" s="5"/>
      <c r="H628" s="5"/>
      <c r="I628" s="5"/>
      <c r="J628" s="5"/>
    </row>
    <row r="629" spans="2:10">
      <c r="B629" s="5"/>
      <c r="C629" s="5"/>
      <c r="D629" s="5"/>
      <c r="E629" s="5"/>
      <c r="F629" s="5"/>
      <c r="G629" s="5"/>
      <c r="H629" s="5"/>
      <c r="I629" s="5"/>
      <c r="J629" s="5"/>
    </row>
    <row r="630" spans="2:10">
      <c r="B630" s="5"/>
      <c r="C630" s="5"/>
      <c r="D630" s="5"/>
      <c r="E630" s="5"/>
      <c r="F630" s="5"/>
      <c r="G630" s="5"/>
      <c r="H630" s="5"/>
      <c r="I630" s="5"/>
      <c r="J630" s="5"/>
    </row>
    <row r="631" spans="2:10">
      <c r="B631" s="5"/>
      <c r="C631" s="5"/>
      <c r="D631" s="5"/>
      <c r="E631" s="5"/>
      <c r="F631" s="5"/>
      <c r="G631" s="5"/>
      <c r="H631" s="5"/>
      <c r="I631" s="5"/>
      <c r="J631" s="5"/>
    </row>
    <row r="632" spans="2:10">
      <c r="B632" s="5"/>
      <c r="C632" s="5"/>
      <c r="D632" s="5"/>
      <c r="E632" s="5"/>
      <c r="F632" s="5"/>
      <c r="G632" s="5"/>
      <c r="H632" s="5"/>
      <c r="I632" s="5"/>
      <c r="J632" s="5"/>
    </row>
    <row r="633" spans="2:10">
      <c r="B633" s="5"/>
      <c r="C633" s="5"/>
      <c r="D633" s="5"/>
      <c r="E633" s="5"/>
      <c r="F633" s="5"/>
      <c r="G633" s="5"/>
      <c r="H633" s="5"/>
      <c r="I633" s="5"/>
      <c r="J633" s="5"/>
    </row>
    <row r="634" spans="2:10">
      <c r="B634" s="5"/>
      <c r="C634" s="5"/>
      <c r="D634" s="5"/>
      <c r="E634" s="5"/>
      <c r="F634" s="5"/>
      <c r="G634" s="5"/>
      <c r="H634" s="5"/>
      <c r="I634" s="5"/>
      <c r="J634" s="5"/>
    </row>
    <row r="635" spans="2:10">
      <c r="B635" s="5"/>
      <c r="C635" s="5"/>
      <c r="D635" s="5"/>
      <c r="E635" s="5"/>
      <c r="F635" s="5"/>
      <c r="G635" s="5"/>
      <c r="H635" s="5"/>
      <c r="I635" s="5"/>
      <c r="J635" s="5"/>
    </row>
    <row r="636" spans="2:10">
      <c r="B636" s="5"/>
      <c r="C636" s="5"/>
      <c r="D636" s="5"/>
      <c r="E636" s="5"/>
      <c r="F636" s="5"/>
      <c r="G636" s="5"/>
      <c r="H636" s="5"/>
      <c r="I636" s="5"/>
      <c r="J636" s="5"/>
    </row>
    <row r="637" spans="2:10">
      <c r="B637" s="5"/>
      <c r="C637" s="5"/>
      <c r="D637" s="5"/>
      <c r="E637" s="5"/>
      <c r="F637" s="5"/>
      <c r="G637" s="5"/>
      <c r="H637" s="5"/>
      <c r="I637" s="5"/>
      <c r="J637" s="5"/>
    </row>
    <row r="638" spans="2:10">
      <c r="B638" s="5"/>
      <c r="C638" s="5"/>
      <c r="D638" s="5"/>
      <c r="E638" s="5"/>
      <c r="F638" s="5"/>
      <c r="G638" s="5"/>
      <c r="H638" s="5"/>
      <c r="I638" s="5"/>
      <c r="J638" s="5"/>
    </row>
    <row r="639" spans="2:10">
      <c r="B639" s="5"/>
      <c r="C639" s="5"/>
      <c r="D639" s="5"/>
      <c r="E639" s="5"/>
      <c r="F639" s="5"/>
      <c r="G639" s="5"/>
      <c r="H639" s="5"/>
      <c r="I639" s="5"/>
      <c r="J639" s="5"/>
    </row>
    <row r="640" spans="2:10">
      <c r="B640" s="5"/>
      <c r="C640" s="5"/>
      <c r="D640" s="5"/>
      <c r="E640" s="5"/>
      <c r="F640" s="5"/>
      <c r="G640" s="5"/>
      <c r="H640" s="5"/>
      <c r="I640" s="5"/>
      <c r="J640" s="5"/>
    </row>
    <row r="641" spans="2:10">
      <c r="B641" s="5"/>
      <c r="C641" s="5"/>
      <c r="D641" s="5"/>
      <c r="E641" s="5"/>
      <c r="F641" s="5"/>
      <c r="G641" s="5"/>
      <c r="H641" s="5"/>
      <c r="I641" s="5"/>
      <c r="J641" s="5"/>
    </row>
    <row r="642" spans="2:10">
      <c r="B642" s="5"/>
      <c r="C642" s="5"/>
      <c r="D642" s="5"/>
      <c r="E642" s="5"/>
      <c r="F642" s="5"/>
      <c r="G642" s="5"/>
      <c r="H642" s="5"/>
      <c r="I642" s="5"/>
      <c r="J642" s="5"/>
    </row>
    <row r="643" spans="2:10">
      <c r="B643" s="5"/>
      <c r="C643" s="5"/>
      <c r="D643" s="5"/>
      <c r="E643" s="5"/>
      <c r="F643" s="5"/>
      <c r="G643" s="5"/>
      <c r="H643" s="5"/>
      <c r="I643" s="5"/>
      <c r="J643" s="5"/>
    </row>
    <row r="644" spans="2:10">
      <c r="B644" s="5"/>
      <c r="C644" s="5"/>
      <c r="D644" s="5"/>
      <c r="E644" s="5"/>
      <c r="F644" s="5"/>
      <c r="G644" s="5"/>
      <c r="H644" s="5"/>
      <c r="I644" s="5"/>
      <c r="J644" s="5"/>
    </row>
    <row r="645" spans="2:10">
      <c r="B645" s="5"/>
      <c r="C645" s="5"/>
      <c r="D645" s="5"/>
      <c r="E645" s="5"/>
      <c r="F645" s="5"/>
      <c r="G645" s="5"/>
      <c r="H645" s="5"/>
      <c r="I645" s="5"/>
      <c r="J645" s="5"/>
    </row>
    <row r="646" spans="2:10">
      <c r="B646" s="5"/>
      <c r="C646" s="5"/>
      <c r="D646" s="5"/>
      <c r="E646" s="5"/>
      <c r="F646" s="5"/>
      <c r="G646" s="5"/>
      <c r="H646" s="5"/>
      <c r="I646" s="5"/>
      <c r="J646" s="5"/>
    </row>
    <row r="647" spans="2:10">
      <c r="B647" s="5"/>
      <c r="C647" s="5"/>
      <c r="D647" s="5"/>
      <c r="E647" s="5"/>
      <c r="F647" s="5"/>
      <c r="G647" s="5"/>
      <c r="H647" s="5"/>
      <c r="I647" s="5"/>
      <c r="J647" s="5"/>
    </row>
    <row r="648" spans="2:10">
      <c r="B648" s="5"/>
      <c r="C648" s="5"/>
      <c r="D648" s="5"/>
      <c r="E648" s="5"/>
      <c r="F648" s="5"/>
      <c r="G648" s="5"/>
      <c r="H648" s="5"/>
      <c r="I648" s="5"/>
      <c r="J648" s="5"/>
    </row>
    <row r="649" spans="2:10">
      <c r="B649" s="5"/>
      <c r="C649" s="5"/>
      <c r="D649" s="5"/>
      <c r="E649" s="5"/>
      <c r="F649" s="5"/>
      <c r="G649" s="5"/>
      <c r="H649" s="5"/>
      <c r="I649" s="5"/>
      <c r="J649" s="5"/>
    </row>
    <row r="650" spans="2:10">
      <c r="B650" s="5"/>
      <c r="C650" s="5"/>
      <c r="D650" s="5"/>
      <c r="E650" s="5"/>
      <c r="F650" s="5"/>
      <c r="G650" s="5"/>
      <c r="H650" s="5"/>
      <c r="I650" s="5"/>
      <c r="J650" s="5"/>
    </row>
    <row r="651" spans="2:10">
      <c r="B651" s="5"/>
      <c r="C651" s="5"/>
      <c r="D651" s="5"/>
      <c r="E651" s="5"/>
      <c r="F651" s="5"/>
      <c r="G651" s="5"/>
      <c r="H651" s="5"/>
      <c r="I651" s="5"/>
      <c r="J651" s="5"/>
    </row>
    <row r="652" spans="2:10">
      <c r="B652" s="5"/>
      <c r="C652" s="5"/>
      <c r="D652" s="5"/>
      <c r="E652" s="5"/>
      <c r="F652" s="5"/>
      <c r="G652" s="5"/>
      <c r="H652" s="5"/>
      <c r="I652" s="5"/>
      <c r="J652" s="5"/>
    </row>
    <row r="653" spans="2:10">
      <c r="B653" s="5"/>
      <c r="C653" s="5"/>
      <c r="D653" s="5"/>
      <c r="E653" s="5"/>
      <c r="F653" s="5"/>
      <c r="G653" s="5"/>
      <c r="H653" s="5"/>
      <c r="I653" s="5"/>
      <c r="J653" s="5"/>
    </row>
    <row r="654" spans="2:10">
      <c r="B654" s="5"/>
      <c r="C654" s="5"/>
      <c r="D654" s="5"/>
      <c r="E654" s="5"/>
      <c r="F654" s="5"/>
      <c r="G654" s="5"/>
      <c r="H654" s="5"/>
      <c r="I654" s="5"/>
      <c r="J654" s="5"/>
    </row>
    <row r="655" spans="2:10">
      <c r="B655" s="5"/>
      <c r="C655" s="5"/>
      <c r="D655" s="5"/>
      <c r="E655" s="5"/>
      <c r="F655" s="5"/>
      <c r="G655" s="5"/>
      <c r="H655" s="5"/>
      <c r="I655" s="5"/>
      <c r="J655" s="5"/>
    </row>
    <row r="656" spans="2:10">
      <c r="B656" s="5"/>
      <c r="C656" s="5"/>
      <c r="D656" s="5"/>
      <c r="E656" s="5"/>
      <c r="F656" s="5"/>
      <c r="G656" s="5"/>
      <c r="H656" s="5"/>
      <c r="I656" s="5"/>
      <c r="J656" s="5"/>
    </row>
    <row r="657" spans="2:10">
      <c r="B657" s="5"/>
      <c r="C657" s="5"/>
      <c r="D657" s="5"/>
      <c r="E657" s="5"/>
      <c r="F657" s="5"/>
      <c r="G657" s="5"/>
      <c r="H657" s="5"/>
      <c r="I657" s="5"/>
      <c r="J657" s="5"/>
    </row>
    <row r="658" spans="2:10">
      <c r="B658" s="5"/>
      <c r="C658" s="5"/>
      <c r="D658" s="5"/>
      <c r="E658" s="5"/>
      <c r="F658" s="5"/>
      <c r="G658" s="5"/>
      <c r="H658" s="5"/>
      <c r="I658" s="5"/>
      <c r="J658" s="5"/>
    </row>
    <row r="659" spans="2:10">
      <c r="B659" s="5"/>
      <c r="C659" s="5"/>
      <c r="D659" s="5"/>
      <c r="E659" s="5"/>
      <c r="F659" s="5"/>
      <c r="G659" s="5"/>
      <c r="H659" s="5"/>
      <c r="I659" s="5"/>
      <c r="J659" s="5"/>
    </row>
    <row r="660" spans="2:10">
      <c r="B660" s="5"/>
      <c r="C660" s="5"/>
      <c r="D660" s="5"/>
      <c r="E660" s="5"/>
      <c r="F660" s="5"/>
      <c r="G660" s="5"/>
      <c r="H660" s="5"/>
      <c r="I660" s="5"/>
      <c r="J660" s="5"/>
    </row>
    <row r="661" spans="2:10">
      <c r="B661" s="5"/>
      <c r="C661" s="5"/>
      <c r="D661" s="5"/>
      <c r="E661" s="5"/>
      <c r="F661" s="5"/>
      <c r="G661" s="5"/>
      <c r="H661" s="5"/>
      <c r="I661" s="5"/>
      <c r="J661" s="5"/>
    </row>
    <row r="662" spans="2:10">
      <c r="B662" s="5"/>
      <c r="C662" s="5"/>
      <c r="D662" s="5"/>
      <c r="E662" s="5"/>
      <c r="F662" s="5"/>
      <c r="G662" s="5"/>
      <c r="H662" s="5"/>
      <c r="I662" s="5"/>
      <c r="J662" s="5"/>
    </row>
    <row r="663" spans="2:10">
      <c r="B663" s="5"/>
      <c r="C663" s="5"/>
      <c r="D663" s="5"/>
      <c r="E663" s="5"/>
      <c r="F663" s="5"/>
      <c r="G663" s="5"/>
      <c r="H663" s="5"/>
      <c r="I663" s="5"/>
      <c r="J663" s="5"/>
    </row>
    <row r="664" spans="2:10">
      <c r="B664" s="5"/>
      <c r="C664" s="5"/>
      <c r="D664" s="5"/>
      <c r="E664" s="5"/>
      <c r="F664" s="5"/>
      <c r="G664" s="5"/>
      <c r="H664" s="5"/>
      <c r="I664" s="5"/>
      <c r="J664" s="5"/>
    </row>
    <row r="665" spans="2:10">
      <c r="B665" s="5"/>
      <c r="C665" s="5"/>
      <c r="D665" s="5"/>
      <c r="E665" s="5"/>
      <c r="F665" s="5"/>
      <c r="G665" s="5"/>
      <c r="H665" s="5"/>
      <c r="I665" s="5"/>
      <c r="J665" s="5"/>
    </row>
    <row r="666" spans="2:10">
      <c r="B666" s="5"/>
      <c r="C666" s="5"/>
      <c r="D666" s="5"/>
      <c r="E666" s="5"/>
      <c r="F666" s="5"/>
      <c r="G666" s="5"/>
      <c r="H666" s="5"/>
      <c r="I666" s="5"/>
      <c r="J666" s="5"/>
    </row>
    <row r="667" spans="2:10">
      <c r="B667" s="5"/>
      <c r="C667" s="5"/>
      <c r="D667" s="5"/>
      <c r="E667" s="5"/>
      <c r="F667" s="5"/>
      <c r="G667" s="5"/>
      <c r="H667" s="5"/>
      <c r="I667" s="5"/>
      <c r="J667" s="5"/>
    </row>
    <row r="668" spans="2:10">
      <c r="B668" s="5"/>
      <c r="C668" s="5"/>
      <c r="D668" s="5"/>
      <c r="E668" s="5"/>
      <c r="F668" s="5"/>
      <c r="G668" s="5"/>
      <c r="H668" s="5"/>
      <c r="I668" s="5"/>
      <c r="J668" s="5"/>
    </row>
    <row r="669" spans="2:10">
      <c r="B669" s="5"/>
      <c r="C669" s="5"/>
      <c r="D669" s="5"/>
      <c r="E669" s="5"/>
      <c r="F669" s="5"/>
      <c r="G669" s="5"/>
      <c r="H669" s="5"/>
      <c r="I669" s="5"/>
      <c r="J669" s="5"/>
    </row>
    <row r="670" spans="2:10">
      <c r="B670" s="5"/>
      <c r="C670" s="5"/>
      <c r="D670" s="5"/>
      <c r="E670" s="5"/>
      <c r="F670" s="5"/>
      <c r="G670" s="5"/>
      <c r="H670" s="5"/>
      <c r="I670" s="5"/>
      <c r="J670" s="5"/>
    </row>
    <row r="671" spans="2:10">
      <c r="B671" s="5"/>
      <c r="C671" s="5"/>
      <c r="D671" s="5"/>
      <c r="E671" s="5"/>
      <c r="F671" s="5"/>
      <c r="G671" s="5"/>
      <c r="H671" s="5"/>
      <c r="I671" s="5"/>
      <c r="J671" s="5"/>
    </row>
    <row r="672" spans="2:10">
      <c r="B672" s="5"/>
      <c r="C672" s="5"/>
      <c r="D672" s="5"/>
      <c r="E672" s="5"/>
      <c r="F672" s="5"/>
      <c r="G672" s="5"/>
      <c r="H672" s="5"/>
      <c r="I672" s="5"/>
      <c r="J672" s="5"/>
    </row>
    <row r="673" spans="2:10">
      <c r="B673" s="5"/>
      <c r="C673" s="5"/>
      <c r="D673" s="5"/>
      <c r="E673" s="5"/>
      <c r="F673" s="5"/>
      <c r="G673" s="5"/>
      <c r="H673" s="5"/>
      <c r="I673" s="5"/>
      <c r="J673" s="5"/>
    </row>
    <row r="674" spans="2:10">
      <c r="B674" s="5"/>
      <c r="C674" s="5"/>
      <c r="D674" s="5"/>
      <c r="E674" s="5"/>
      <c r="F674" s="5"/>
      <c r="G674" s="5"/>
      <c r="H674" s="5"/>
      <c r="I674" s="5"/>
      <c r="J674" s="5"/>
    </row>
    <row r="675" spans="2:10">
      <c r="B675" s="5"/>
      <c r="C675" s="5"/>
      <c r="D675" s="5"/>
      <c r="E675" s="5"/>
      <c r="F675" s="5"/>
      <c r="G675" s="5"/>
      <c r="H675" s="5"/>
      <c r="I675" s="5"/>
      <c r="J675" s="5"/>
    </row>
    <row r="676" spans="2:10">
      <c r="B676" s="5"/>
      <c r="C676" s="5"/>
      <c r="D676" s="5"/>
      <c r="E676" s="5"/>
      <c r="F676" s="5"/>
      <c r="G676" s="5"/>
      <c r="H676" s="5"/>
      <c r="I676" s="5"/>
      <c r="J676" s="5"/>
    </row>
    <row r="677" spans="2:10">
      <c r="B677" s="5"/>
      <c r="C677" s="5"/>
      <c r="D677" s="5"/>
      <c r="E677" s="5"/>
      <c r="F677" s="5"/>
      <c r="G677" s="5"/>
      <c r="H677" s="5"/>
      <c r="I677" s="5"/>
      <c r="J677" s="5"/>
    </row>
    <row r="678" spans="2:10">
      <c r="B678" s="5"/>
      <c r="C678" s="5"/>
      <c r="D678" s="5"/>
      <c r="E678" s="5"/>
      <c r="F678" s="5"/>
      <c r="G678" s="5"/>
      <c r="H678" s="5"/>
      <c r="I678" s="5"/>
      <c r="J678" s="5"/>
    </row>
    <row r="679" spans="2:10">
      <c r="B679" s="5"/>
      <c r="C679" s="5"/>
      <c r="D679" s="5"/>
      <c r="E679" s="5"/>
      <c r="F679" s="5"/>
      <c r="G679" s="5"/>
      <c r="H679" s="5"/>
      <c r="I679" s="5"/>
      <c r="J679" s="5"/>
    </row>
    <row r="680" spans="2:10">
      <c r="B680" s="5"/>
      <c r="C680" s="5"/>
      <c r="D680" s="5"/>
      <c r="E680" s="5"/>
      <c r="F680" s="5"/>
      <c r="G680" s="5"/>
      <c r="H680" s="5"/>
      <c r="I680" s="5"/>
      <c r="J680" s="5"/>
    </row>
    <row r="681" spans="2:10">
      <c r="B681" s="5"/>
      <c r="C681" s="5"/>
      <c r="D681" s="5"/>
      <c r="E681" s="5"/>
      <c r="F681" s="5"/>
      <c r="G681" s="5"/>
      <c r="H681" s="5"/>
      <c r="I681" s="5"/>
      <c r="J681" s="5"/>
    </row>
    <row r="682" spans="2:10">
      <c r="B682" s="5"/>
      <c r="C682" s="5"/>
      <c r="D682" s="5"/>
      <c r="E682" s="5"/>
      <c r="F682" s="5"/>
      <c r="G682" s="5"/>
      <c r="H682" s="5"/>
      <c r="I682" s="5"/>
      <c r="J682" s="5"/>
    </row>
    <row r="683" spans="2:10">
      <c r="B683" s="5"/>
      <c r="C683" s="5"/>
      <c r="D683" s="5"/>
      <c r="E683" s="5"/>
      <c r="F683" s="5"/>
      <c r="G683" s="5"/>
      <c r="H683" s="5"/>
      <c r="I683" s="5"/>
      <c r="J683" s="5"/>
    </row>
    <row r="684" spans="2:10">
      <c r="B684" s="5"/>
      <c r="C684" s="5"/>
      <c r="D684" s="5"/>
      <c r="E684" s="5"/>
      <c r="F684" s="5"/>
      <c r="G684" s="5"/>
      <c r="H684" s="5"/>
      <c r="I684" s="5"/>
      <c r="J684" s="5"/>
    </row>
    <row r="685" spans="2:10">
      <c r="B685" s="5"/>
      <c r="C685" s="5"/>
      <c r="D685" s="5"/>
      <c r="E685" s="5"/>
      <c r="F685" s="5"/>
      <c r="G685" s="5"/>
      <c r="H685" s="5"/>
      <c r="I685" s="5"/>
      <c r="J685" s="5"/>
    </row>
    <row r="686" spans="2:10">
      <c r="B686" s="5"/>
      <c r="C686" s="5"/>
      <c r="D686" s="5"/>
      <c r="E686" s="5"/>
      <c r="F686" s="5"/>
      <c r="G686" s="5"/>
      <c r="H686" s="5"/>
      <c r="I686" s="5"/>
      <c r="J686" s="5"/>
    </row>
    <row r="687" spans="2:10">
      <c r="B687" s="5"/>
      <c r="C687" s="5"/>
      <c r="D687" s="5"/>
      <c r="E687" s="5"/>
      <c r="F687" s="5"/>
      <c r="G687" s="5"/>
      <c r="H687" s="5"/>
      <c r="I687" s="5"/>
      <c r="J687" s="5"/>
    </row>
    <row r="688" spans="2:10">
      <c r="B688" s="5"/>
      <c r="C688" s="5"/>
      <c r="D688" s="5"/>
      <c r="E688" s="5"/>
      <c r="F688" s="5"/>
      <c r="G688" s="5"/>
      <c r="H688" s="5"/>
      <c r="I688" s="5"/>
      <c r="J688" s="5"/>
    </row>
    <row r="689" spans="2:10">
      <c r="B689" s="5"/>
      <c r="C689" s="5"/>
      <c r="D689" s="5"/>
      <c r="E689" s="5"/>
      <c r="F689" s="5"/>
      <c r="G689" s="5"/>
      <c r="H689" s="5"/>
      <c r="I689" s="5"/>
      <c r="J689" s="5"/>
    </row>
    <row r="690" spans="2:10">
      <c r="B690" s="5"/>
      <c r="C690" s="5"/>
      <c r="D690" s="5"/>
      <c r="E690" s="5"/>
      <c r="F690" s="5"/>
      <c r="G690" s="5"/>
      <c r="H690" s="5"/>
      <c r="I690" s="5"/>
      <c r="J690" s="5"/>
    </row>
    <row r="691" spans="2:10">
      <c r="B691" s="5"/>
      <c r="C691" s="5"/>
      <c r="D691" s="5"/>
      <c r="E691" s="5"/>
      <c r="F691" s="5"/>
      <c r="G691" s="5"/>
      <c r="H691" s="5"/>
      <c r="I691" s="5"/>
      <c r="J691" s="5"/>
    </row>
    <row r="692" spans="2:10">
      <c r="B692" s="5"/>
      <c r="C692" s="5"/>
      <c r="D692" s="5"/>
      <c r="E692" s="5"/>
      <c r="F692" s="5"/>
      <c r="G692" s="5"/>
      <c r="H692" s="5"/>
      <c r="I692" s="5"/>
      <c r="J692" s="5"/>
    </row>
    <row r="693" spans="2:10">
      <c r="B693" s="5"/>
      <c r="C693" s="5"/>
      <c r="D693" s="5"/>
      <c r="E693" s="5"/>
      <c r="F693" s="5"/>
      <c r="G693" s="5"/>
      <c r="H693" s="5"/>
      <c r="I693" s="5"/>
      <c r="J693" s="5"/>
    </row>
    <row r="694" spans="2:10">
      <c r="B694" s="5"/>
      <c r="C694" s="5"/>
      <c r="D694" s="5"/>
      <c r="E694" s="5"/>
      <c r="F694" s="5"/>
      <c r="G694" s="5"/>
      <c r="H694" s="5"/>
      <c r="I694" s="5"/>
      <c r="J694" s="5"/>
    </row>
    <row r="695" spans="2:10">
      <c r="B695" s="5"/>
      <c r="C695" s="5"/>
      <c r="D695" s="5"/>
      <c r="E695" s="5"/>
      <c r="F695" s="5"/>
      <c r="G695" s="5"/>
      <c r="H695" s="5"/>
      <c r="I695" s="5"/>
      <c r="J695" s="5"/>
    </row>
    <row r="696" spans="2:10">
      <c r="B696" s="5"/>
      <c r="C696" s="5"/>
      <c r="D696" s="5"/>
      <c r="E696" s="5"/>
      <c r="F696" s="5"/>
      <c r="G696" s="5"/>
      <c r="H696" s="5"/>
      <c r="I696" s="5"/>
      <c r="J696" s="5"/>
    </row>
    <row r="697" spans="2:10">
      <c r="B697" s="5"/>
      <c r="C697" s="5"/>
      <c r="D697" s="5"/>
      <c r="E697" s="5"/>
      <c r="F697" s="5"/>
      <c r="G697" s="5"/>
      <c r="H697" s="5"/>
      <c r="I697" s="5"/>
      <c r="J697" s="5"/>
    </row>
    <row r="698" spans="2:10">
      <c r="B698" s="5"/>
      <c r="C698" s="5"/>
      <c r="D698" s="5"/>
      <c r="E698" s="5"/>
      <c r="F698" s="5"/>
      <c r="G698" s="5"/>
      <c r="H698" s="5"/>
      <c r="I698" s="5"/>
      <c r="J698" s="5"/>
    </row>
    <row r="699" spans="2:10">
      <c r="B699" s="5"/>
      <c r="C699" s="5"/>
      <c r="D699" s="5"/>
      <c r="E699" s="5"/>
      <c r="F699" s="5"/>
      <c r="G699" s="5"/>
      <c r="H699" s="5"/>
      <c r="I699" s="5"/>
      <c r="J699" s="5"/>
    </row>
    <row r="700" spans="2:10">
      <c r="B700" s="5"/>
      <c r="C700" s="5"/>
      <c r="D700" s="5"/>
      <c r="E700" s="5"/>
      <c r="F700" s="5"/>
      <c r="G700" s="5"/>
      <c r="H700" s="5"/>
      <c r="I700" s="5"/>
      <c r="J700" s="5"/>
    </row>
    <row r="701" spans="2:10">
      <c r="B701" s="5"/>
      <c r="C701" s="5"/>
      <c r="D701" s="5"/>
      <c r="E701" s="5"/>
      <c r="F701" s="5"/>
      <c r="G701" s="5"/>
      <c r="H701" s="5"/>
      <c r="I701" s="5"/>
      <c r="J701" s="5"/>
    </row>
    <row r="702" spans="2:10">
      <c r="B702" s="5"/>
      <c r="C702" s="5"/>
      <c r="D702" s="5"/>
      <c r="E702" s="5"/>
      <c r="F702" s="5"/>
      <c r="G702" s="5"/>
      <c r="H702" s="5"/>
      <c r="I702" s="5"/>
      <c r="J702" s="5"/>
    </row>
    <row r="703" spans="2:10">
      <c r="B703" s="5"/>
      <c r="C703" s="5"/>
      <c r="D703" s="5"/>
      <c r="E703" s="5"/>
      <c r="F703" s="5"/>
      <c r="G703" s="5"/>
      <c r="H703" s="5"/>
      <c r="I703" s="5"/>
      <c r="J703" s="5"/>
    </row>
    <row r="704" spans="2:10">
      <c r="B704" s="5"/>
      <c r="C704" s="5"/>
      <c r="D704" s="5"/>
      <c r="E704" s="5"/>
      <c r="F704" s="5"/>
      <c r="G704" s="5"/>
      <c r="H704" s="5"/>
      <c r="I704" s="5"/>
      <c r="J704" s="5"/>
    </row>
    <row r="705" spans="2:10">
      <c r="B705" s="5"/>
      <c r="C705" s="5"/>
      <c r="D705" s="5"/>
      <c r="E705" s="5"/>
      <c r="F705" s="5"/>
      <c r="G705" s="5"/>
      <c r="H705" s="5"/>
      <c r="I705" s="5"/>
      <c r="J705" s="5"/>
    </row>
    <row r="706" spans="2:10">
      <c r="B706" s="5"/>
      <c r="C706" s="5"/>
      <c r="D706" s="5"/>
      <c r="E706" s="5"/>
      <c r="F706" s="5"/>
      <c r="G706" s="5"/>
      <c r="H706" s="5"/>
      <c r="I706" s="5"/>
      <c r="J706" s="5"/>
    </row>
    <row r="707" spans="2:10">
      <c r="B707" s="5"/>
      <c r="C707" s="5"/>
      <c r="D707" s="5"/>
      <c r="E707" s="5"/>
      <c r="F707" s="5"/>
      <c r="G707" s="5"/>
      <c r="H707" s="5"/>
      <c r="I707" s="5"/>
      <c r="J707" s="5"/>
    </row>
    <row r="708" spans="2:10">
      <c r="B708" s="5"/>
      <c r="C708" s="5"/>
      <c r="D708" s="5"/>
      <c r="E708" s="5"/>
      <c r="F708" s="5"/>
      <c r="G708" s="5"/>
      <c r="H708" s="5"/>
      <c r="I708" s="5"/>
      <c r="J708" s="5"/>
    </row>
    <row r="709" spans="2:10">
      <c r="B709" s="5"/>
      <c r="C709" s="5"/>
      <c r="D709" s="5"/>
      <c r="E709" s="5"/>
      <c r="F709" s="5"/>
      <c r="G709" s="5"/>
      <c r="H709" s="5"/>
      <c r="I709" s="5"/>
      <c r="J709" s="5"/>
    </row>
    <row r="710" spans="2:10">
      <c r="B710" s="5"/>
      <c r="C710" s="5"/>
      <c r="D710" s="5"/>
      <c r="E710" s="5"/>
      <c r="F710" s="5"/>
      <c r="G710" s="5"/>
      <c r="H710" s="5"/>
      <c r="I710" s="5"/>
      <c r="J710" s="5"/>
    </row>
    <row r="711" spans="2:10">
      <c r="B711" s="5"/>
      <c r="C711" s="5"/>
      <c r="D711" s="5"/>
      <c r="E711" s="5"/>
      <c r="F711" s="5"/>
      <c r="G711" s="5"/>
      <c r="H711" s="5"/>
      <c r="I711" s="5"/>
      <c r="J711" s="5"/>
    </row>
    <row r="712" spans="2:10">
      <c r="B712" s="5"/>
      <c r="C712" s="5"/>
      <c r="D712" s="5"/>
      <c r="E712" s="5"/>
      <c r="F712" s="5"/>
      <c r="G712" s="5"/>
      <c r="H712" s="5"/>
      <c r="I712" s="5"/>
      <c r="J712" s="5"/>
    </row>
    <row r="713" spans="2:10">
      <c r="B713" s="5"/>
      <c r="C713" s="5"/>
      <c r="D713" s="5"/>
      <c r="E713" s="5"/>
      <c r="F713" s="5"/>
      <c r="G713" s="5"/>
      <c r="H713" s="5"/>
      <c r="I713" s="5"/>
      <c r="J713" s="5"/>
    </row>
    <row r="714" spans="2:10">
      <c r="B714" s="5"/>
      <c r="C714" s="5"/>
      <c r="D714" s="5"/>
      <c r="E714" s="5"/>
      <c r="F714" s="5"/>
      <c r="G714" s="5"/>
      <c r="H714" s="5"/>
      <c r="I714" s="5"/>
      <c r="J714" s="5"/>
    </row>
    <row r="715" spans="2:10">
      <c r="B715" s="5"/>
      <c r="C715" s="5"/>
      <c r="D715" s="5"/>
      <c r="E715" s="5"/>
      <c r="F715" s="5"/>
      <c r="G715" s="5"/>
      <c r="H715" s="5"/>
      <c r="I715" s="5"/>
      <c r="J715" s="5"/>
    </row>
    <row r="716" spans="2:10">
      <c r="B716" s="5"/>
      <c r="C716" s="5"/>
      <c r="D716" s="5"/>
      <c r="E716" s="5"/>
      <c r="F716" s="5"/>
      <c r="G716" s="5"/>
      <c r="H716" s="5"/>
      <c r="I716" s="5"/>
      <c r="J716" s="5"/>
    </row>
    <row r="717" spans="2:10">
      <c r="B717" s="5"/>
      <c r="C717" s="5"/>
      <c r="D717" s="5"/>
      <c r="E717" s="5"/>
      <c r="F717" s="5"/>
      <c r="G717" s="5"/>
      <c r="H717" s="5"/>
      <c r="I717" s="5"/>
      <c r="J717" s="5"/>
    </row>
    <row r="718" spans="2:10">
      <c r="B718" s="5"/>
      <c r="C718" s="5"/>
      <c r="D718" s="5"/>
      <c r="E718" s="5"/>
      <c r="F718" s="5"/>
      <c r="G718" s="5"/>
      <c r="H718" s="5"/>
      <c r="I718" s="5"/>
      <c r="J718" s="5"/>
    </row>
    <row r="719" spans="2:10">
      <c r="B719" s="5"/>
      <c r="C719" s="5"/>
      <c r="D719" s="5"/>
      <c r="E719" s="5"/>
      <c r="F719" s="5"/>
      <c r="G719" s="5"/>
      <c r="H719" s="5"/>
      <c r="I719" s="5"/>
      <c r="J719" s="5"/>
    </row>
    <row r="720" spans="2:10">
      <c r="B720" s="5"/>
      <c r="C720" s="5"/>
      <c r="D720" s="5"/>
      <c r="E720" s="5"/>
      <c r="F720" s="5"/>
      <c r="G720" s="5"/>
      <c r="H720" s="5"/>
      <c r="I720" s="5"/>
      <c r="J720" s="5"/>
    </row>
    <row r="721" spans="2:10">
      <c r="B721" s="5"/>
      <c r="C721" s="5"/>
      <c r="D721" s="5"/>
      <c r="E721" s="5"/>
      <c r="F721" s="5"/>
      <c r="G721" s="5"/>
      <c r="H721" s="5"/>
      <c r="I721" s="5"/>
      <c r="J721" s="5"/>
    </row>
    <row r="722" spans="2:10">
      <c r="B722" s="5"/>
      <c r="C722" s="5"/>
      <c r="D722" s="5"/>
      <c r="E722" s="5"/>
      <c r="F722" s="5"/>
      <c r="G722" s="5"/>
      <c r="H722" s="5"/>
      <c r="I722" s="5"/>
      <c r="J722" s="5"/>
    </row>
    <row r="723" spans="2:10">
      <c r="B723" s="5"/>
      <c r="C723" s="5"/>
      <c r="D723" s="5"/>
      <c r="E723" s="5"/>
      <c r="F723" s="5"/>
      <c r="G723" s="5"/>
      <c r="H723" s="5"/>
      <c r="I723" s="5"/>
      <c r="J723" s="5"/>
    </row>
    <row r="724" spans="2:10">
      <c r="B724" s="5"/>
      <c r="C724" s="5"/>
      <c r="D724" s="5"/>
      <c r="E724" s="5"/>
      <c r="F724" s="5"/>
      <c r="G724" s="5"/>
      <c r="H724" s="5"/>
      <c r="I724" s="5"/>
      <c r="J724" s="5"/>
    </row>
    <row r="725" spans="2:10">
      <c r="B725" s="5"/>
      <c r="C725" s="5"/>
      <c r="D725" s="5"/>
      <c r="E725" s="5"/>
      <c r="F725" s="5"/>
      <c r="G725" s="5"/>
      <c r="H725" s="5"/>
      <c r="I725" s="5"/>
      <c r="J725" s="5"/>
    </row>
    <row r="726" spans="2:10">
      <c r="B726" s="5"/>
      <c r="C726" s="5"/>
      <c r="D726" s="5"/>
      <c r="E726" s="5"/>
      <c r="F726" s="5"/>
      <c r="G726" s="5"/>
      <c r="H726" s="5"/>
      <c r="I726" s="5"/>
      <c r="J726" s="5"/>
    </row>
    <row r="727" spans="2:10">
      <c r="B727" s="5"/>
      <c r="C727" s="5"/>
      <c r="D727" s="5"/>
      <c r="E727" s="5"/>
      <c r="F727" s="5"/>
      <c r="G727" s="5"/>
      <c r="H727" s="5"/>
      <c r="I727" s="5"/>
      <c r="J727" s="5"/>
    </row>
    <row r="728" spans="2:10">
      <c r="B728" s="5"/>
      <c r="C728" s="5"/>
      <c r="D728" s="5"/>
      <c r="E728" s="5"/>
      <c r="F728" s="5"/>
      <c r="G728" s="5"/>
      <c r="H728" s="5"/>
      <c r="I728" s="5"/>
      <c r="J728" s="5"/>
    </row>
    <row r="729" spans="2:10">
      <c r="B729" s="5"/>
      <c r="C729" s="5"/>
      <c r="D729" s="5"/>
      <c r="E729" s="5"/>
      <c r="F729" s="5"/>
      <c r="G729" s="5"/>
      <c r="H729" s="5"/>
      <c r="I729" s="5"/>
      <c r="J729" s="5"/>
    </row>
    <row r="730" spans="2:10">
      <c r="B730" s="5"/>
      <c r="C730" s="5"/>
      <c r="D730" s="5"/>
      <c r="E730" s="5"/>
      <c r="F730" s="5"/>
      <c r="G730" s="5"/>
      <c r="H730" s="5"/>
      <c r="I730" s="5"/>
      <c r="J730" s="5"/>
    </row>
    <row r="731" spans="2:10">
      <c r="B731" s="5"/>
      <c r="C731" s="5"/>
      <c r="D731" s="5"/>
      <c r="E731" s="5"/>
      <c r="F731" s="5"/>
      <c r="G731" s="5"/>
      <c r="H731" s="5"/>
      <c r="I731" s="5"/>
      <c r="J731" s="5"/>
    </row>
    <row r="732" spans="2:10">
      <c r="B732" s="5"/>
      <c r="C732" s="5"/>
      <c r="D732" s="5"/>
      <c r="E732" s="5"/>
      <c r="F732" s="5"/>
      <c r="G732" s="5"/>
      <c r="H732" s="5"/>
      <c r="I732" s="5"/>
      <c r="J732" s="5"/>
    </row>
    <row r="733" spans="2:10">
      <c r="B733" s="5"/>
      <c r="C733" s="5"/>
      <c r="D733" s="5"/>
      <c r="E733" s="5"/>
      <c r="F733" s="5"/>
      <c r="G733" s="5"/>
      <c r="H733" s="5"/>
      <c r="I733" s="5"/>
      <c r="J733" s="5"/>
    </row>
    <row r="734" spans="2:10">
      <c r="B734" s="5"/>
      <c r="C734" s="5"/>
      <c r="D734" s="5"/>
      <c r="E734" s="5"/>
      <c r="F734" s="5"/>
      <c r="G734" s="5"/>
      <c r="H734" s="5"/>
      <c r="I734" s="5"/>
      <c r="J734" s="5"/>
    </row>
    <row r="735" spans="2:10">
      <c r="B735" s="5"/>
      <c r="C735" s="5"/>
      <c r="D735" s="5"/>
      <c r="E735" s="5"/>
      <c r="F735" s="5"/>
      <c r="G735" s="5"/>
      <c r="H735" s="5"/>
      <c r="I735" s="5"/>
      <c r="J735" s="5"/>
    </row>
    <row r="736" spans="2:10">
      <c r="B736" s="5"/>
      <c r="C736" s="5"/>
      <c r="D736" s="5"/>
      <c r="E736" s="5"/>
      <c r="F736" s="5"/>
      <c r="G736" s="5"/>
      <c r="H736" s="5"/>
      <c r="I736" s="5"/>
      <c r="J736" s="5"/>
    </row>
    <row r="737" spans="2:10">
      <c r="B737" s="5"/>
      <c r="C737" s="5"/>
      <c r="D737" s="5"/>
      <c r="E737" s="5"/>
      <c r="F737" s="5"/>
      <c r="G737" s="5"/>
      <c r="H737" s="5"/>
      <c r="I737" s="5"/>
      <c r="J737" s="5"/>
    </row>
    <row r="738" spans="2:10">
      <c r="B738" s="5"/>
      <c r="C738" s="5"/>
      <c r="D738" s="5"/>
      <c r="E738" s="5"/>
      <c r="F738" s="5"/>
      <c r="G738" s="5"/>
      <c r="H738" s="5"/>
      <c r="I738" s="5"/>
      <c r="J738" s="5"/>
    </row>
    <row r="739" spans="2:10">
      <c r="B739" s="5"/>
      <c r="C739" s="5"/>
      <c r="D739" s="5"/>
      <c r="E739" s="5"/>
      <c r="F739" s="5"/>
      <c r="G739" s="5"/>
      <c r="H739" s="5"/>
      <c r="I739" s="5"/>
      <c r="J739" s="5"/>
    </row>
    <row r="740" spans="2:10">
      <c r="B740" s="5"/>
      <c r="C740" s="5"/>
      <c r="D740" s="5"/>
      <c r="E740" s="5"/>
      <c r="F740" s="5"/>
      <c r="G740" s="5"/>
      <c r="H740" s="5"/>
      <c r="I740" s="5"/>
      <c r="J740" s="5"/>
    </row>
    <row r="741" spans="2:10">
      <c r="B741" s="5"/>
      <c r="C741" s="5"/>
      <c r="D741" s="5"/>
      <c r="E741" s="5"/>
      <c r="F741" s="5"/>
      <c r="G741" s="5"/>
      <c r="H741" s="5"/>
      <c r="I741" s="5"/>
      <c r="J741" s="5"/>
    </row>
    <row r="742" spans="2:10">
      <c r="B742" s="5"/>
      <c r="C742" s="5"/>
      <c r="D742" s="5"/>
      <c r="E742" s="5"/>
      <c r="F742" s="5"/>
      <c r="G742" s="5"/>
      <c r="H742" s="5"/>
      <c r="I742" s="5"/>
      <c r="J742" s="5"/>
    </row>
    <row r="743" spans="2:10">
      <c r="B743" s="5"/>
      <c r="C743" s="5"/>
      <c r="D743" s="5"/>
      <c r="E743" s="5"/>
      <c r="F743" s="5"/>
      <c r="G743" s="5"/>
      <c r="H743" s="5"/>
      <c r="I743" s="5"/>
      <c r="J743" s="5"/>
    </row>
    <row r="744" spans="2:10">
      <c r="B744" s="5"/>
      <c r="C744" s="5"/>
      <c r="D744" s="5"/>
      <c r="E744" s="5"/>
      <c r="F744" s="5"/>
      <c r="G744" s="5"/>
      <c r="H744" s="5"/>
      <c r="I744" s="5"/>
      <c r="J744" s="5"/>
    </row>
    <row r="745" spans="2:10">
      <c r="B745" s="5"/>
      <c r="C745" s="5"/>
      <c r="D745" s="5"/>
      <c r="E745" s="5"/>
      <c r="F745" s="5"/>
      <c r="G745" s="5"/>
      <c r="H745" s="5"/>
      <c r="I745" s="5"/>
      <c r="J745" s="5"/>
    </row>
    <row r="746" spans="2:10">
      <c r="B746" s="5"/>
      <c r="C746" s="5"/>
      <c r="D746" s="5"/>
      <c r="E746" s="5"/>
      <c r="F746" s="5"/>
      <c r="G746" s="5"/>
      <c r="H746" s="5"/>
      <c r="I746" s="5"/>
      <c r="J746" s="5"/>
    </row>
    <row r="747" spans="2:10">
      <c r="B747" s="5"/>
      <c r="C747" s="5"/>
      <c r="D747" s="5"/>
      <c r="E747" s="5"/>
      <c r="F747" s="5"/>
      <c r="G747" s="5"/>
      <c r="H747" s="5"/>
      <c r="I747" s="5"/>
      <c r="J747" s="5"/>
    </row>
    <row r="748" spans="2:10">
      <c r="B748" s="5"/>
      <c r="C748" s="5"/>
      <c r="D748" s="5"/>
      <c r="E748" s="5"/>
      <c r="F748" s="5"/>
      <c r="G748" s="5"/>
      <c r="H748" s="5"/>
      <c r="I748" s="5"/>
      <c r="J748" s="5"/>
    </row>
    <row r="749" spans="2:10">
      <c r="B749" s="5"/>
      <c r="C749" s="5"/>
      <c r="D749" s="5"/>
      <c r="E749" s="5"/>
      <c r="F749" s="5"/>
      <c r="G749" s="5"/>
      <c r="H749" s="5"/>
      <c r="I749" s="5"/>
      <c r="J749" s="5"/>
    </row>
    <row r="750" spans="2:10">
      <c r="B750" s="5"/>
      <c r="C750" s="5"/>
      <c r="D750" s="5"/>
      <c r="E750" s="5"/>
      <c r="F750" s="5"/>
      <c r="G750" s="5"/>
      <c r="H750" s="5"/>
      <c r="I750" s="5"/>
      <c r="J750" s="5"/>
    </row>
    <row r="751" spans="2:10">
      <c r="B751" s="5"/>
      <c r="C751" s="5"/>
      <c r="D751" s="5"/>
      <c r="E751" s="5"/>
      <c r="F751" s="5"/>
      <c r="G751" s="5"/>
      <c r="H751" s="5"/>
      <c r="I751" s="5"/>
      <c r="J751" s="5"/>
    </row>
    <row r="752" spans="2:10">
      <c r="B752" s="5"/>
      <c r="C752" s="5"/>
      <c r="D752" s="5"/>
      <c r="E752" s="5"/>
      <c r="F752" s="5"/>
      <c r="G752" s="5"/>
      <c r="H752" s="5"/>
      <c r="I752" s="5"/>
      <c r="J752" s="5"/>
    </row>
    <row r="753" spans="2:10">
      <c r="B753" s="5"/>
      <c r="C753" s="5"/>
      <c r="D753" s="5"/>
      <c r="E753" s="5"/>
      <c r="F753" s="5"/>
      <c r="G753" s="5"/>
      <c r="H753" s="5"/>
      <c r="I753" s="5"/>
      <c r="J753" s="5"/>
    </row>
    <row r="754" spans="2:10">
      <c r="B754" s="5"/>
      <c r="C754" s="5"/>
      <c r="D754" s="5"/>
      <c r="E754" s="5"/>
      <c r="F754" s="5"/>
      <c r="G754" s="5"/>
      <c r="H754" s="5"/>
      <c r="I754" s="5"/>
      <c r="J754" s="5"/>
    </row>
    <row r="755" spans="2:10">
      <c r="B755" s="5"/>
      <c r="C755" s="5"/>
      <c r="D755" s="5"/>
      <c r="E755" s="5"/>
      <c r="F755" s="5"/>
      <c r="G755" s="5"/>
      <c r="H755" s="5"/>
      <c r="I755" s="5"/>
      <c r="J755" s="5"/>
    </row>
    <row r="756" spans="2:10">
      <c r="B756" s="5"/>
      <c r="C756" s="5"/>
      <c r="D756" s="5"/>
      <c r="E756" s="5"/>
      <c r="F756" s="5"/>
      <c r="G756" s="5"/>
      <c r="H756" s="5"/>
      <c r="I756" s="5"/>
      <c r="J756" s="5"/>
    </row>
    <row r="757" spans="2:10">
      <c r="B757" s="5"/>
      <c r="C757" s="5"/>
      <c r="D757" s="5"/>
      <c r="E757" s="5"/>
      <c r="F757" s="5"/>
      <c r="G757" s="5"/>
      <c r="H757" s="5"/>
      <c r="I757" s="5"/>
      <c r="J757" s="5"/>
    </row>
    <row r="758" spans="2:10">
      <c r="B758" s="5"/>
      <c r="C758" s="5"/>
      <c r="D758" s="5"/>
      <c r="E758" s="5"/>
      <c r="F758" s="5"/>
      <c r="G758" s="5"/>
      <c r="H758" s="5"/>
      <c r="I758" s="5"/>
      <c r="J758" s="5"/>
    </row>
    <row r="759" spans="2:10">
      <c r="B759" s="5"/>
      <c r="C759" s="5"/>
      <c r="D759" s="5"/>
      <c r="E759" s="5"/>
      <c r="F759" s="5"/>
      <c r="G759" s="5"/>
      <c r="H759" s="5"/>
      <c r="I759" s="5"/>
      <c r="J759" s="5"/>
    </row>
    <row r="760" spans="2:10">
      <c r="B760" s="5"/>
      <c r="C760" s="5"/>
      <c r="D760" s="5"/>
      <c r="E760" s="5"/>
      <c r="F760" s="5"/>
      <c r="G760" s="5"/>
      <c r="H760" s="5"/>
      <c r="I760" s="5"/>
      <c r="J760" s="5"/>
    </row>
    <row r="761" spans="2:10">
      <c r="B761" s="5"/>
      <c r="C761" s="5"/>
      <c r="D761" s="5"/>
      <c r="E761" s="5"/>
      <c r="F761" s="5"/>
      <c r="G761" s="5"/>
      <c r="H761" s="5"/>
      <c r="I761" s="5"/>
      <c r="J761" s="5"/>
    </row>
    <row r="762" spans="2:10">
      <c r="B762" s="5"/>
      <c r="C762" s="5"/>
      <c r="D762" s="5"/>
      <c r="E762" s="5"/>
      <c r="F762" s="5"/>
      <c r="G762" s="5"/>
      <c r="H762" s="5"/>
      <c r="I762" s="5"/>
      <c r="J762" s="5"/>
    </row>
    <row r="763" spans="2:10">
      <c r="B763" s="5"/>
      <c r="C763" s="5"/>
      <c r="D763" s="5"/>
      <c r="E763" s="5"/>
      <c r="F763" s="5"/>
      <c r="G763" s="5"/>
      <c r="H763" s="5"/>
      <c r="I763" s="5"/>
      <c r="J763" s="5"/>
    </row>
    <row r="764" spans="2:10">
      <c r="B764" s="5"/>
      <c r="C764" s="5"/>
      <c r="D764" s="5"/>
      <c r="E764" s="5"/>
      <c r="F764" s="5"/>
      <c r="G764" s="5"/>
      <c r="H764" s="5"/>
      <c r="I764" s="5"/>
      <c r="J764" s="5"/>
    </row>
    <row r="765" spans="2:10">
      <c r="B765" s="5"/>
      <c r="C765" s="5"/>
      <c r="D765" s="5"/>
      <c r="E765" s="5"/>
      <c r="F765" s="5"/>
      <c r="G765" s="5"/>
      <c r="H765" s="5"/>
      <c r="I765" s="5"/>
      <c r="J765" s="5"/>
    </row>
    <row r="766" spans="2:10">
      <c r="B766" s="5"/>
      <c r="C766" s="5"/>
      <c r="D766" s="5"/>
      <c r="E766" s="5"/>
      <c r="F766" s="5"/>
      <c r="G766" s="5"/>
      <c r="H766" s="5"/>
      <c r="I766" s="5"/>
      <c r="J766" s="5"/>
    </row>
    <row r="767" spans="2:10">
      <c r="B767" s="5"/>
      <c r="C767" s="5"/>
      <c r="D767" s="5"/>
      <c r="E767" s="5"/>
      <c r="F767" s="5"/>
      <c r="G767" s="5"/>
      <c r="H767" s="5"/>
      <c r="I767" s="5"/>
      <c r="J767" s="5"/>
    </row>
    <row r="768" spans="2:10">
      <c r="B768" s="5"/>
      <c r="C768" s="5"/>
      <c r="D768" s="5"/>
      <c r="E768" s="5"/>
      <c r="F768" s="5"/>
      <c r="G768" s="5"/>
      <c r="H768" s="5"/>
      <c r="I768" s="5"/>
      <c r="J768" s="5"/>
    </row>
    <row r="769" spans="2:10">
      <c r="B769" s="5"/>
      <c r="C769" s="5"/>
      <c r="D769" s="5"/>
      <c r="E769" s="5"/>
      <c r="F769" s="5"/>
      <c r="G769" s="5"/>
      <c r="H769" s="5"/>
      <c r="I769" s="5"/>
      <c r="J769" s="5"/>
    </row>
    <row r="770" spans="2:10">
      <c r="B770" s="5"/>
      <c r="C770" s="5"/>
      <c r="D770" s="5"/>
      <c r="E770" s="5"/>
      <c r="F770" s="5"/>
      <c r="G770" s="5"/>
      <c r="H770" s="5"/>
      <c r="I770" s="5"/>
      <c r="J770" s="5"/>
    </row>
    <row r="771" spans="2:10">
      <c r="B771" s="5"/>
      <c r="C771" s="5"/>
      <c r="D771" s="5"/>
      <c r="E771" s="5"/>
      <c r="F771" s="5"/>
      <c r="G771" s="5"/>
      <c r="H771" s="5"/>
      <c r="I771" s="5"/>
      <c r="J771" s="5"/>
    </row>
    <row r="772" spans="2:10">
      <c r="B772" s="5"/>
      <c r="C772" s="5"/>
      <c r="D772" s="5"/>
      <c r="E772" s="5"/>
      <c r="F772" s="5"/>
      <c r="G772" s="5"/>
      <c r="H772" s="5"/>
      <c r="I772" s="5"/>
      <c r="J772" s="5"/>
    </row>
    <row r="773" spans="2:10">
      <c r="B773" s="5"/>
      <c r="C773" s="5"/>
      <c r="D773" s="5"/>
      <c r="E773" s="5"/>
      <c r="F773" s="5"/>
      <c r="G773" s="5"/>
      <c r="H773" s="5"/>
      <c r="I773" s="5"/>
      <c r="J773" s="5"/>
    </row>
    <row r="774" spans="2:10">
      <c r="B774" s="5"/>
      <c r="C774" s="5"/>
      <c r="D774" s="5"/>
      <c r="E774" s="5"/>
      <c r="F774" s="5"/>
      <c r="G774" s="5"/>
      <c r="H774" s="5"/>
      <c r="I774" s="5"/>
      <c r="J774" s="5"/>
    </row>
    <row r="775" spans="2:10">
      <c r="B775" s="5"/>
      <c r="C775" s="5"/>
      <c r="D775" s="5"/>
      <c r="E775" s="5"/>
      <c r="F775" s="5"/>
      <c r="G775" s="5"/>
      <c r="H775" s="5"/>
      <c r="I775" s="5"/>
      <c r="J775" s="5"/>
    </row>
    <row r="776" spans="2:10">
      <c r="B776" s="5"/>
      <c r="C776" s="5"/>
      <c r="D776" s="5"/>
      <c r="E776" s="5"/>
      <c r="F776" s="5"/>
      <c r="G776" s="5"/>
      <c r="H776" s="5"/>
      <c r="I776" s="5"/>
      <c r="J776" s="5"/>
    </row>
    <row r="777" spans="2:10">
      <c r="B777" s="5"/>
      <c r="C777" s="5"/>
      <c r="D777" s="5"/>
      <c r="E777" s="5"/>
      <c r="F777" s="5"/>
      <c r="G777" s="5"/>
      <c r="H777" s="5"/>
      <c r="I777" s="5"/>
      <c r="J777" s="5"/>
    </row>
    <row r="778" spans="2:10">
      <c r="B778" s="5"/>
      <c r="C778" s="5"/>
      <c r="D778" s="5"/>
      <c r="E778" s="5"/>
      <c r="F778" s="5"/>
      <c r="G778" s="5"/>
      <c r="H778" s="5"/>
      <c r="I778" s="5"/>
      <c r="J778" s="5"/>
    </row>
    <row r="779" spans="2:10">
      <c r="B779" s="5"/>
      <c r="C779" s="5"/>
      <c r="D779" s="5"/>
      <c r="E779" s="5"/>
      <c r="F779" s="5"/>
      <c r="G779" s="5"/>
      <c r="H779" s="5"/>
      <c r="I779" s="5"/>
      <c r="J779" s="5"/>
    </row>
    <row r="780" spans="2:10">
      <c r="B780" s="5"/>
      <c r="C780" s="5"/>
      <c r="D780" s="5"/>
      <c r="E780" s="5"/>
      <c r="F780" s="5"/>
      <c r="G780" s="5"/>
      <c r="H780" s="5"/>
      <c r="I780" s="5"/>
      <c r="J780" s="5"/>
    </row>
    <row r="781" spans="2:10">
      <c r="B781" s="5"/>
      <c r="C781" s="5"/>
      <c r="D781" s="5"/>
      <c r="E781" s="5"/>
      <c r="F781" s="5"/>
      <c r="G781" s="5"/>
      <c r="H781" s="5"/>
      <c r="I781" s="5"/>
      <c r="J781" s="5"/>
    </row>
    <row r="782" spans="2:10">
      <c r="B782" s="5"/>
      <c r="C782" s="5"/>
      <c r="D782" s="5"/>
      <c r="E782" s="5"/>
      <c r="F782" s="5"/>
      <c r="G782" s="5"/>
      <c r="H782" s="5"/>
      <c r="I782" s="5"/>
      <c r="J782" s="5"/>
    </row>
    <row r="783" spans="2:10">
      <c r="B783" s="5"/>
      <c r="C783" s="5"/>
      <c r="D783" s="5"/>
      <c r="E783" s="5"/>
      <c r="F783" s="5"/>
      <c r="G783" s="5"/>
      <c r="H783" s="5"/>
      <c r="I783" s="5"/>
      <c r="J783" s="5"/>
    </row>
    <row r="784" spans="2:10">
      <c r="B784" s="5"/>
      <c r="C784" s="5"/>
      <c r="D784" s="5"/>
      <c r="E784" s="5"/>
      <c r="F784" s="5"/>
      <c r="G784" s="5"/>
      <c r="H784" s="5"/>
      <c r="I784" s="5"/>
      <c r="J784" s="5"/>
    </row>
    <row r="785" spans="2:10">
      <c r="B785" s="5"/>
      <c r="C785" s="5"/>
      <c r="D785" s="5"/>
      <c r="E785" s="5"/>
      <c r="F785" s="5"/>
      <c r="G785" s="5"/>
      <c r="H785" s="5"/>
      <c r="I785" s="5"/>
      <c r="J785" s="5"/>
    </row>
    <row r="786" spans="2:10">
      <c r="B786" s="5"/>
      <c r="C786" s="5"/>
      <c r="D786" s="5"/>
      <c r="E786" s="5"/>
      <c r="F786" s="5"/>
      <c r="G786" s="5"/>
      <c r="H786" s="5"/>
      <c r="I786" s="5"/>
      <c r="J786" s="5"/>
    </row>
    <row r="787" spans="2:10">
      <c r="B787" s="5"/>
      <c r="C787" s="5"/>
      <c r="D787" s="5"/>
      <c r="E787" s="5"/>
      <c r="F787" s="5"/>
      <c r="G787" s="5"/>
      <c r="H787" s="5"/>
      <c r="I787" s="5"/>
      <c r="J787" s="5"/>
    </row>
    <row r="788" spans="2:10">
      <c r="B788" s="5"/>
      <c r="C788" s="5"/>
      <c r="D788" s="5"/>
      <c r="E788" s="5"/>
      <c r="F788" s="5"/>
      <c r="G788" s="5"/>
      <c r="H788" s="5"/>
      <c r="I788" s="5"/>
      <c r="J788" s="5"/>
    </row>
    <row r="789" spans="2:10">
      <c r="B789" s="5"/>
      <c r="C789" s="5"/>
      <c r="D789" s="5"/>
      <c r="E789" s="5"/>
      <c r="F789" s="5"/>
      <c r="G789" s="5"/>
      <c r="H789" s="5"/>
      <c r="I789" s="5"/>
      <c r="J789" s="5"/>
    </row>
    <row r="790" spans="2:10">
      <c r="B790" s="5"/>
      <c r="C790" s="5"/>
      <c r="D790" s="5"/>
      <c r="E790" s="5"/>
      <c r="F790" s="5"/>
      <c r="G790" s="5"/>
      <c r="H790" s="5"/>
      <c r="I790" s="5"/>
      <c r="J790" s="5"/>
    </row>
    <row r="791" spans="2:10">
      <c r="B791" s="5"/>
      <c r="C791" s="5"/>
      <c r="D791" s="5"/>
      <c r="E791" s="5"/>
      <c r="F791" s="5"/>
      <c r="G791" s="5"/>
      <c r="H791" s="5"/>
      <c r="I791" s="5"/>
      <c r="J791" s="5"/>
    </row>
    <row r="792" spans="2:10">
      <c r="B792" s="5"/>
      <c r="C792" s="5"/>
      <c r="D792" s="5"/>
      <c r="E792" s="5"/>
      <c r="F792" s="5"/>
      <c r="G792" s="5"/>
      <c r="H792" s="5"/>
      <c r="I792" s="5"/>
      <c r="J792" s="5"/>
    </row>
    <row r="793" spans="2:10">
      <c r="B793" s="5"/>
      <c r="C793" s="5"/>
      <c r="D793" s="5"/>
      <c r="E793" s="5"/>
      <c r="F793" s="5"/>
      <c r="G793" s="5"/>
      <c r="H793" s="5"/>
      <c r="I793" s="5"/>
      <c r="J793" s="5"/>
    </row>
    <row r="794" spans="2:10">
      <c r="B794" s="5"/>
      <c r="C794" s="5"/>
      <c r="D794" s="5"/>
      <c r="E794" s="5"/>
      <c r="F794" s="5"/>
      <c r="G794" s="5"/>
      <c r="H794" s="5"/>
      <c r="I794" s="5"/>
      <c r="J794" s="5"/>
    </row>
    <row r="795" spans="2:10">
      <c r="B795" s="5"/>
      <c r="C795" s="5"/>
      <c r="D795" s="5"/>
      <c r="E795" s="5"/>
      <c r="F795" s="5"/>
      <c r="G795" s="5"/>
      <c r="H795" s="5"/>
      <c r="I795" s="5"/>
      <c r="J795" s="5"/>
    </row>
    <row r="796" spans="2:10">
      <c r="B796" s="5"/>
      <c r="C796" s="5"/>
      <c r="D796" s="5"/>
      <c r="E796" s="5"/>
      <c r="F796" s="5"/>
      <c r="G796" s="5"/>
      <c r="H796" s="5"/>
      <c r="I796" s="5"/>
      <c r="J796" s="5"/>
    </row>
    <row r="797" spans="2:10">
      <c r="B797" s="5"/>
      <c r="C797" s="5"/>
      <c r="D797" s="5"/>
      <c r="E797" s="5"/>
      <c r="F797" s="5"/>
      <c r="G797" s="5"/>
      <c r="H797" s="5"/>
      <c r="I797" s="5"/>
      <c r="J797" s="5"/>
    </row>
    <row r="798" spans="2:10">
      <c r="B798" s="5"/>
      <c r="C798" s="5"/>
      <c r="D798" s="5"/>
      <c r="E798" s="5"/>
      <c r="F798" s="5"/>
      <c r="G798" s="5"/>
      <c r="H798" s="5"/>
      <c r="I798" s="5"/>
      <c r="J798" s="5"/>
    </row>
    <row r="799" spans="2:10">
      <c r="B799" s="5"/>
      <c r="C799" s="5"/>
      <c r="D799" s="5"/>
      <c r="E799" s="5"/>
      <c r="F799" s="5"/>
      <c r="G799" s="5"/>
      <c r="H799" s="5"/>
      <c r="I799" s="5"/>
      <c r="J799" s="5"/>
    </row>
    <row r="800" spans="2:10">
      <c r="B800" s="5"/>
      <c r="C800" s="5"/>
      <c r="D800" s="5"/>
      <c r="E800" s="5"/>
      <c r="F800" s="5"/>
      <c r="G800" s="5"/>
      <c r="H800" s="5"/>
      <c r="I800" s="5"/>
      <c r="J800" s="5"/>
    </row>
    <row r="801" spans="2:10">
      <c r="B801" s="5"/>
      <c r="C801" s="5"/>
      <c r="D801" s="5"/>
      <c r="E801" s="5"/>
      <c r="F801" s="5"/>
      <c r="G801" s="5"/>
      <c r="H801" s="5"/>
      <c r="I801" s="5"/>
      <c r="J801" s="5"/>
    </row>
    <row r="802" spans="2:10">
      <c r="B802" s="5"/>
      <c r="C802" s="5"/>
      <c r="D802" s="5"/>
      <c r="E802" s="5"/>
      <c r="F802" s="5"/>
      <c r="G802" s="5"/>
      <c r="H802" s="5"/>
      <c r="I802" s="5"/>
      <c r="J802" s="5"/>
    </row>
    <row r="803" spans="2:10">
      <c r="B803" s="5"/>
      <c r="C803" s="5"/>
      <c r="D803" s="5"/>
      <c r="E803" s="5"/>
      <c r="F803" s="5"/>
      <c r="G803" s="5"/>
      <c r="H803" s="5"/>
      <c r="I803" s="5"/>
      <c r="J803" s="5"/>
    </row>
    <row r="804" spans="2:10">
      <c r="B804" s="5"/>
      <c r="C804" s="5"/>
      <c r="D804" s="5"/>
      <c r="E804" s="5"/>
      <c r="F804" s="5"/>
      <c r="G804" s="5"/>
      <c r="H804" s="5"/>
      <c r="I804" s="5"/>
      <c r="J804" s="5"/>
    </row>
    <row r="805" spans="2:10">
      <c r="B805" s="5"/>
      <c r="C805" s="5"/>
      <c r="D805" s="5"/>
      <c r="E805" s="5"/>
      <c r="F805" s="5"/>
      <c r="G805" s="5"/>
      <c r="H805" s="5"/>
      <c r="I805" s="5"/>
      <c r="J805" s="5"/>
    </row>
    <row r="806" spans="2:10">
      <c r="B806" s="5"/>
      <c r="C806" s="5"/>
      <c r="D806" s="5"/>
      <c r="E806" s="5"/>
      <c r="F806" s="5"/>
      <c r="G806" s="5"/>
      <c r="H806" s="5"/>
      <c r="I806" s="5"/>
      <c r="J806" s="5"/>
    </row>
    <row r="807" spans="2:10">
      <c r="B807" s="5"/>
      <c r="C807" s="5"/>
      <c r="D807" s="5"/>
      <c r="E807" s="5"/>
      <c r="F807" s="5"/>
      <c r="G807" s="5"/>
      <c r="H807" s="5"/>
      <c r="I807" s="5"/>
      <c r="J807" s="5"/>
    </row>
    <row r="808" spans="2:10">
      <c r="B808" s="5"/>
      <c r="C808" s="5"/>
      <c r="D808" s="5"/>
      <c r="E808" s="5"/>
      <c r="F808" s="5"/>
      <c r="G808" s="5"/>
      <c r="H808" s="5"/>
      <c r="I808" s="5"/>
      <c r="J808" s="5"/>
    </row>
    <row r="809" spans="2:10">
      <c r="B809" s="5"/>
      <c r="C809" s="5"/>
      <c r="D809" s="5"/>
      <c r="E809" s="5"/>
      <c r="F809" s="5"/>
      <c r="G809" s="5"/>
      <c r="H809" s="5"/>
      <c r="I809" s="5"/>
      <c r="J809" s="5"/>
    </row>
    <row r="810" spans="2:10">
      <c r="B810" s="5"/>
      <c r="C810" s="5"/>
      <c r="D810" s="5"/>
      <c r="E810" s="5"/>
      <c r="F810" s="5"/>
      <c r="G810" s="5"/>
      <c r="H810" s="5"/>
      <c r="I810" s="5"/>
      <c r="J810" s="5"/>
    </row>
    <row r="811" spans="2:10">
      <c r="B811" s="5"/>
      <c r="C811" s="5"/>
      <c r="D811" s="5"/>
      <c r="E811" s="5"/>
      <c r="F811" s="5"/>
      <c r="G811" s="5"/>
      <c r="H811" s="5"/>
      <c r="I811" s="5"/>
      <c r="J811" s="5"/>
    </row>
    <row r="812" spans="2:10">
      <c r="B812" s="5"/>
      <c r="C812" s="5"/>
      <c r="D812" s="5"/>
      <c r="E812" s="5"/>
      <c r="F812" s="5"/>
      <c r="G812" s="5"/>
      <c r="H812" s="5"/>
      <c r="I812" s="5"/>
      <c r="J812" s="5"/>
    </row>
    <row r="813" spans="2:10">
      <c r="B813" s="5"/>
      <c r="C813" s="5"/>
      <c r="D813" s="5"/>
      <c r="E813" s="5"/>
      <c r="F813" s="5"/>
      <c r="G813" s="5"/>
      <c r="H813" s="5"/>
      <c r="I813" s="5"/>
      <c r="J813" s="5"/>
    </row>
    <row r="814" spans="2:10">
      <c r="B814" s="5"/>
      <c r="C814" s="5"/>
      <c r="D814" s="5"/>
      <c r="E814" s="5"/>
      <c r="F814" s="5"/>
      <c r="G814" s="5"/>
      <c r="H814" s="5"/>
      <c r="I814" s="5"/>
      <c r="J814" s="5"/>
    </row>
    <row r="815" spans="2:10">
      <c r="B815" s="5"/>
      <c r="C815" s="5"/>
      <c r="D815" s="5"/>
      <c r="E815" s="5"/>
      <c r="F815" s="5"/>
      <c r="G815" s="5"/>
      <c r="H815" s="5"/>
      <c r="I815" s="5"/>
      <c r="J815" s="5"/>
    </row>
    <row r="816" spans="2:10">
      <c r="B816" s="5"/>
      <c r="C816" s="5"/>
      <c r="D816" s="5"/>
      <c r="E816" s="5"/>
      <c r="F816" s="5"/>
      <c r="G816" s="5"/>
      <c r="H816" s="5"/>
      <c r="I816" s="5"/>
      <c r="J816" s="5"/>
    </row>
    <row r="817" spans="2:10">
      <c r="B817" s="5"/>
      <c r="C817" s="5"/>
      <c r="D817" s="5"/>
      <c r="E817" s="5"/>
      <c r="F817" s="5"/>
      <c r="G817" s="5"/>
      <c r="H817" s="5"/>
      <c r="I817" s="5"/>
      <c r="J817" s="5"/>
    </row>
    <row r="818" spans="2:10">
      <c r="B818" s="5"/>
      <c r="C818" s="5"/>
      <c r="D818" s="5"/>
      <c r="E818" s="5"/>
      <c r="F818" s="5"/>
      <c r="G818" s="5"/>
      <c r="H818" s="5"/>
      <c r="I818" s="5"/>
      <c r="J818" s="5"/>
    </row>
    <row r="819" spans="2:10">
      <c r="B819" s="5"/>
      <c r="C819" s="5"/>
      <c r="D819" s="5"/>
      <c r="E819" s="5"/>
      <c r="F819" s="5"/>
      <c r="G819" s="5"/>
      <c r="H819" s="5"/>
      <c r="I819" s="5"/>
      <c r="J819" s="5"/>
    </row>
    <row r="820" spans="2:10">
      <c r="B820" s="5"/>
      <c r="C820" s="5"/>
      <c r="D820" s="5"/>
      <c r="E820" s="5"/>
      <c r="F820" s="5"/>
      <c r="G820" s="5"/>
      <c r="H820" s="5"/>
      <c r="I820" s="5"/>
      <c r="J820" s="5"/>
    </row>
    <row r="821" spans="2:10">
      <c r="B821" s="5"/>
      <c r="C821" s="5"/>
      <c r="D821" s="5"/>
      <c r="E821" s="5"/>
      <c r="F821" s="5"/>
      <c r="G821" s="5"/>
      <c r="H821" s="5"/>
      <c r="I821" s="5"/>
      <c r="J821" s="5"/>
    </row>
    <row r="822" spans="2:10">
      <c r="B822" s="5"/>
      <c r="C822" s="5"/>
      <c r="D822" s="5"/>
      <c r="E822" s="5"/>
      <c r="F822" s="5"/>
      <c r="G822" s="5"/>
      <c r="H822" s="5"/>
      <c r="I822" s="5"/>
      <c r="J822" s="5"/>
    </row>
    <row r="823" spans="2:10">
      <c r="B823" s="5"/>
      <c r="C823" s="5"/>
      <c r="D823" s="5"/>
      <c r="E823" s="5"/>
      <c r="F823" s="5"/>
      <c r="G823" s="5"/>
      <c r="H823" s="5"/>
      <c r="I823" s="5"/>
      <c r="J823" s="5"/>
    </row>
    <row r="824" spans="2:10">
      <c r="B824" s="5"/>
      <c r="C824" s="5"/>
      <c r="D824" s="5"/>
      <c r="E824" s="5"/>
      <c r="F824" s="5"/>
      <c r="G824" s="5"/>
      <c r="H824" s="5"/>
      <c r="I824" s="5"/>
      <c r="J824" s="5"/>
    </row>
    <row r="825" spans="2:10">
      <c r="B825" s="5"/>
      <c r="C825" s="5"/>
      <c r="D825" s="5"/>
      <c r="E825" s="5"/>
      <c r="F825" s="5"/>
      <c r="G825" s="5"/>
      <c r="H825" s="5"/>
      <c r="I825" s="5"/>
      <c r="J825" s="5"/>
    </row>
    <row r="826" spans="2:10">
      <c r="B826" s="5"/>
      <c r="C826" s="5"/>
      <c r="D826" s="5"/>
      <c r="E826" s="5"/>
      <c r="F826" s="5"/>
      <c r="G826" s="5"/>
      <c r="H826" s="5"/>
      <c r="I826" s="5"/>
      <c r="J826" s="5"/>
    </row>
    <row r="827" spans="2:10">
      <c r="B827" s="5"/>
      <c r="C827" s="5"/>
      <c r="D827" s="5"/>
      <c r="E827" s="5"/>
      <c r="F827" s="5"/>
      <c r="G827" s="5"/>
      <c r="H827" s="5"/>
      <c r="I827" s="5"/>
      <c r="J827" s="5"/>
    </row>
    <row r="828" spans="2:10">
      <c r="B828" s="5"/>
      <c r="C828" s="5"/>
      <c r="D828" s="5"/>
      <c r="E828" s="5"/>
      <c r="F828" s="5"/>
      <c r="G828" s="5"/>
      <c r="H828" s="5"/>
      <c r="I828" s="5"/>
      <c r="J828" s="5"/>
    </row>
    <row r="829" spans="2:10">
      <c r="B829" s="5"/>
      <c r="C829" s="5"/>
      <c r="D829" s="5"/>
      <c r="E829" s="5"/>
      <c r="F829" s="5"/>
      <c r="G829" s="5"/>
      <c r="H829" s="5"/>
      <c r="I829" s="5"/>
      <c r="J829" s="5"/>
    </row>
    <row r="830" spans="2:10">
      <c r="B830" s="5"/>
      <c r="C830" s="5"/>
      <c r="D830" s="5"/>
      <c r="E830" s="5"/>
      <c r="F830" s="5"/>
      <c r="G830" s="5"/>
      <c r="H830" s="5"/>
      <c r="I830" s="5"/>
      <c r="J830" s="5"/>
    </row>
    <row r="831" spans="2:10">
      <c r="B831" s="5"/>
      <c r="C831" s="5"/>
      <c r="D831" s="5"/>
      <c r="E831" s="5"/>
      <c r="F831" s="5"/>
      <c r="G831" s="5"/>
      <c r="H831" s="5"/>
      <c r="I831" s="5"/>
      <c r="J831" s="5"/>
    </row>
    <row r="832" spans="2:10">
      <c r="B832" s="5"/>
      <c r="C832" s="5"/>
      <c r="D832" s="5"/>
      <c r="E832" s="5"/>
      <c r="F832" s="5"/>
      <c r="G832" s="5"/>
      <c r="H832" s="5"/>
      <c r="I832" s="5"/>
      <c r="J832" s="5"/>
    </row>
    <row r="833" spans="2:10">
      <c r="B833" s="5"/>
      <c r="C833" s="5"/>
      <c r="D833" s="5"/>
      <c r="E833" s="5"/>
      <c r="F833" s="5"/>
      <c r="G833" s="5"/>
      <c r="H833" s="5"/>
      <c r="I833" s="5"/>
      <c r="J833" s="5"/>
    </row>
    <row r="834" spans="2:10">
      <c r="B834" s="5"/>
      <c r="C834" s="5"/>
      <c r="D834" s="5"/>
      <c r="E834" s="5"/>
      <c r="F834" s="5"/>
      <c r="G834" s="5"/>
      <c r="H834" s="5"/>
      <c r="I834" s="5"/>
      <c r="J834" s="5"/>
    </row>
    <row r="835" spans="2:10">
      <c r="B835" s="5"/>
      <c r="C835" s="5"/>
      <c r="D835" s="5"/>
      <c r="E835" s="5"/>
      <c r="F835" s="5"/>
      <c r="G835" s="5"/>
      <c r="H835" s="5"/>
      <c r="I835" s="5"/>
      <c r="J835" s="5"/>
    </row>
    <row r="836" spans="2:10">
      <c r="B836" s="5"/>
      <c r="C836" s="5"/>
      <c r="D836" s="5"/>
      <c r="E836" s="5"/>
      <c r="F836" s="5"/>
      <c r="G836" s="5"/>
      <c r="H836" s="5"/>
      <c r="I836" s="5"/>
      <c r="J836" s="5"/>
    </row>
    <row r="837" spans="2:10">
      <c r="B837" s="5"/>
      <c r="C837" s="5"/>
      <c r="D837" s="5"/>
      <c r="E837" s="5"/>
      <c r="F837" s="5"/>
      <c r="G837" s="5"/>
      <c r="H837" s="5"/>
      <c r="I837" s="5"/>
      <c r="J837" s="5"/>
    </row>
    <row r="838" spans="2:10">
      <c r="B838" s="5"/>
      <c r="C838" s="5"/>
      <c r="D838" s="5"/>
      <c r="E838" s="5"/>
      <c r="F838" s="5"/>
      <c r="G838" s="5"/>
      <c r="H838" s="5"/>
      <c r="I838" s="5"/>
      <c r="J838" s="5"/>
    </row>
    <row r="839" spans="2:10">
      <c r="B839" s="5"/>
      <c r="C839" s="5"/>
      <c r="D839" s="5"/>
      <c r="E839" s="5"/>
      <c r="F839" s="5"/>
      <c r="G839" s="5"/>
      <c r="H839" s="5"/>
      <c r="I839" s="5"/>
      <c r="J839" s="5"/>
    </row>
    <row r="840" spans="2:10">
      <c r="B840" s="5"/>
      <c r="C840" s="5"/>
      <c r="D840" s="5"/>
      <c r="E840" s="5"/>
      <c r="F840" s="5"/>
      <c r="G840" s="5"/>
      <c r="H840" s="5"/>
      <c r="I840" s="5"/>
      <c r="J840" s="5"/>
    </row>
    <row r="841" spans="2:10">
      <c r="B841" s="5"/>
      <c r="C841" s="5"/>
      <c r="D841" s="5"/>
      <c r="E841" s="5"/>
      <c r="F841" s="5"/>
      <c r="G841" s="5"/>
      <c r="H841" s="5"/>
      <c r="I841" s="5"/>
      <c r="J841" s="5"/>
    </row>
    <row r="842" spans="2:10">
      <c r="B842" s="5"/>
      <c r="C842" s="5"/>
      <c r="D842" s="5"/>
      <c r="E842" s="5"/>
      <c r="F842" s="5"/>
      <c r="G842" s="5"/>
      <c r="H842" s="5"/>
      <c r="I842" s="5"/>
      <c r="J842" s="5"/>
    </row>
    <row r="843" spans="2:10">
      <c r="B843" s="5"/>
      <c r="C843" s="5"/>
      <c r="D843" s="5"/>
      <c r="E843" s="5"/>
      <c r="F843" s="5"/>
      <c r="G843" s="5"/>
      <c r="H843" s="5"/>
      <c r="I843" s="5"/>
      <c r="J843" s="5"/>
    </row>
    <row r="844" spans="2:10">
      <c r="B844" s="5"/>
      <c r="C844" s="5"/>
      <c r="D844" s="5"/>
      <c r="E844" s="5"/>
      <c r="F844" s="5"/>
      <c r="G844" s="5"/>
      <c r="H844" s="5"/>
      <c r="I844" s="5"/>
      <c r="J844" s="5"/>
    </row>
    <row r="845" spans="2:10">
      <c r="B845" s="5"/>
      <c r="C845" s="5"/>
      <c r="D845" s="5"/>
      <c r="E845" s="5"/>
      <c r="F845" s="5"/>
      <c r="G845" s="5"/>
      <c r="H845" s="5"/>
      <c r="I845" s="5"/>
      <c r="J845" s="5"/>
    </row>
    <row r="846" spans="2:10">
      <c r="B846" s="5"/>
      <c r="C846" s="5"/>
      <c r="D846" s="5"/>
      <c r="E846" s="5"/>
      <c r="F846" s="5"/>
      <c r="G846" s="5"/>
      <c r="H846" s="5"/>
      <c r="I846" s="5"/>
      <c r="J846" s="5"/>
    </row>
    <row r="847" spans="2:10">
      <c r="B847" s="5"/>
      <c r="C847" s="5"/>
      <c r="D847" s="5"/>
      <c r="E847" s="5"/>
      <c r="F847" s="5"/>
      <c r="G847" s="5"/>
      <c r="H847" s="5"/>
      <c r="I847" s="5"/>
      <c r="J847" s="5"/>
    </row>
    <row r="848" spans="2:10">
      <c r="B848" s="5"/>
      <c r="C848" s="5"/>
      <c r="D848" s="5"/>
      <c r="E848" s="5"/>
      <c r="F848" s="5"/>
      <c r="G848" s="5"/>
      <c r="H848" s="5"/>
      <c r="I848" s="5"/>
      <c r="J848" s="5"/>
    </row>
    <row r="849" spans="2:10">
      <c r="B849" s="5"/>
      <c r="C849" s="5"/>
      <c r="D849" s="5"/>
      <c r="E849" s="5"/>
      <c r="F849" s="5"/>
      <c r="G849" s="5"/>
      <c r="H849" s="5"/>
      <c r="I849" s="5"/>
      <c r="J849" s="5"/>
    </row>
    <row r="850" spans="2:10">
      <c r="B850" s="5"/>
      <c r="C850" s="5"/>
      <c r="D850" s="5"/>
      <c r="E850" s="5"/>
      <c r="F850" s="5"/>
      <c r="G850" s="5"/>
      <c r="H850" s="5"/>
      <c r="I850" s="5"/>
      <c r="J850" s="5"/>
    </row>
    <row r="851" spans="2:10">
      <c r="B851" s="5"/>
      <c r="C851" s="5"/>
      <c r="D851" s="5"/>
      <c r="E851" s="5"/>
      <c r="F851" s="5"/>
      <c r="G851" s="5"/>
      <c r="H851" s="5"/>
      <c r="I851" s="5"/>
      <c r="J851" s="5"/>
    </row>
    <row r="852" spans="2:10">
      <c r="B852" s="5"/>
      <c r="C852" s="5"/>
      <c r="D852" s="5"/>
      <c r="E852" s="5"/>
      <c r="F852" s="5"/>
      <c r="G852" s="5"/>
      <c r="H852" s="5"/>
      <c r="I852" s="5"/>
      <c r="J852" s="5"/>
    </row>
    <row r="853" spans="2:10">
      <c r="B853" s="5"/>
      <c r="C853" s="5"/>
      <c r="D853" s="5"/>
      <c r="E853" s="5"/>
      <c r="F853" s="5"/>
      <c r="G853" s="5"/>
      <c r="H853" s="5"/>
      <c r="I853" s="5"/>
      <c r="J853" s="5"/>
    </row>
    <row r="854" spans="2:10">
      <c r="B854" s="5"/>
      <c r="C854" s="5"/>
      <c r="D854" s="5"/>
      <c r="E854" s="5"/>
      <c r="F854" s="5"/>
      <c r="G854" s="5"/>
      <c r="H854" s="5"/>
      <c r="I854" s="5"/>
      <c r="J854" s="5"/>
    </row>
    <row r="855" spans="2:10">
      <c r="B855" s="5"/>
      <c r="C855" s="5"/>
      <c r="D855" s="5"/>
      <c r="E855" s="5"/>
      <c r="F855" s="5"/>
      <c r="G855" s="5"/>
      <c r="H855" s="5"/>
      <c r="I855" s="5"/>
      <c r="J855" s="5"/>
    </row>
    <row r="856" spans="2:10">
      <c r="B856" s="5"/>
      <c r="C856" s="5"/>
      <c r="D856" s="5"/>
      <c r="E856" s="5"/>
      <c r="F856" s="5"/>
      <c r="G856" s="5"/>
      <c r="H856" s="5"/>
      <c r="I856" s="5"/>
      <c r="J856" s="5"/>
    </row>
    <row r="857" spans="2:10">
      <c r="B857" s="5"/>
      <c r="C857" s="5"/>
      <c r="D857" s="5"/>
      <c r="E857" s="5"/>
      <c r="F857" s="5"/>
      <c r="G857" s="5"/>
      <c r="H857" s="5"/>
      <c r="I857" s="5"/>
      <c r="J857" s="5"/>
    </row>
    <row r="858" spans="2:10">
      <c r="B858" s="5"/>
      <c r="C858" s="5"/>
      <c r="D858" s="5"/>
      <c r="E858" s="5"/>
      <c r="F858" s="5"/>
      <c r="G858" s="5"/>
      <c r="H858" s="5"/>
      <c r="I858" s="5"/>
      <c r="J858" s="5"/>
    </row>
    <row r="859" spans="2:10">
      <c r="B859" s="5"/>
      <c r="C859" s="5"/>
      <c r="D859" s="5"/>
      <c r="E859" s="5"/>
      <c r="F859" s="5"/>
      <c r="G859" s="5"/>
      <c r="H859" s="5"/>
      <c r="I859" s="5"/>
      <c r="J859" s="5"/>
    </row>
    <row r="860" spans="2:10">
      <c r="B860" s="5"/>
      <c r="C860" s="5"/>
      <c r="D860" s="5"/>
      <c r="E860" s="5"/>
      <c r="F860" s="5"/>
      <c r="G860" s="5"/>
      <c r="H860" s="5"/>
      <c r="I860" s="5"/>
      <c r="J860" s="5"/>
    </row>
    <row r="861" spans="2:10">
      <c r="B861" s="5"/>
      <c r="C861" s="5"/>
      <c r="D861" s="5"/>
      <c r="E861" s="5"/>
      <c r="F861" s="5"/>
      <c r="G861" s="5"/>
      <c r="H861" s="5"/>
      <c r="I861" s="5"/>
      <c r="J861" s="5"/>
    </row>
    <row r="862" spans="2:10">
      <c r="B862" s="5"/>
      <c r="C862" s="5"/>
      <c r="D862" s="5"/>
      <c r="E862" s="5"/>
      <c r="F862" s="5"/>
      <c r="G862" s="5"/>
      <c r="H862" s="5"/>
      <c r="I862" s="5"/>
      <c r="J862" s="5"/>
    </row>
    <row r="863" spans="2:10">
      <c r="B863" s="5"/>
      <c r="C863" s="5"/>
      <c r="D863" s="5"/>
      <c r="E863" s="5"/>
      <c r="F863" s="5"/>
      <c r="G863" s="5"/>
      <c r="H863" s="5"/>
      <c r="I863" s="5"/>
      <c r="J863" s="5"/>
    </row>
    <row r="864" spans="2:10">
      <c r="B864" s="5"/>
      <c r="C864" s="5"/>
      <c r="D864" s="5"/>
      <c r="E864" s="5"/>
      <c r="F864" s="5"/>
      <c r="G864" s="5"/>
      <c r="H864" s="5"/>
      <c r="I864" s="5"/>
      <c r="J864" s="5"/>
    </row>
    <row r="865" spans="2:10">
      <c r="B865" s="5"/>
      <c r="C865" s="5"/>
      <c r="D865" s="5"/>
      <c r="E865" s="5"/>
      <c r="F865" s="5"/>
      <c r="G865" s="5"/>
      <c r="H865" s="5"/>
      <c r="I865" s="5"/>
      <c r="J865" s="5"/>
    </row>
    <row r="866" spans="2:10">
      <c r="B866" s="5"/>
      <c r="C866" s="5"/>
      <c r="D866" s="5"/>
      <c r="E866" s="5"/>
      <c r="F866" s="5"/>
      <c r="G866" s="5"/>
      <c r="H866" s="5"/>
      <c r="I866" s="5"/>
      <c r="J866" s="5"/>
    </row>
    <row r="867" spans="2:10">
      <c r="B867" s="5"/>
      <c r="C867" s="5"/>
      <c r="D867" s="5"/>
      <c r="E867" s="5"/>
      <c r="F867" s="5"/>
      <c r="G867" s="5"/>
      <c r="H867" s="5"/>
      <c r="I867" s="5"/>
      <c r="J867" s="5"/>
    </row>
    <row r="868" spans="2:10">
      <c r="B868" s="5"/>
      <c r="C868" s="5"/>
      <c r="D868" s="5"/>
      <c r="E868" s="5"/>
      <c r="F868" s="5"/>
      <c r="G868" s="5"/>
      <c r="H868" s="5"/>
      <c r="I868" s="5"/>
      <c r="J868" s="5"/>
    </row>
    <row r="869" spans="2:10">
      <c r="B869" s="5"/>
      <c r="C869" s="5"/>
      <c r="D869" s="5"/>
      <c r="E869" s="5"/>
      <c r="F869" s="5"/>
      <c r="G869" s="5"/>
      <c r="H869" s="5"/>
      <c r="I869" s="5"/>
      <c r="J869" s="5"/>
    </row>
    <row r="870" spans="2:10">
      <c r="B870" s="5"/>
      <c r="C870" s="5"/>
      <c r="D870" s="5"/>
      <c r="E870" s="5"/>
      <c r="F870" s="5"/>
      <c r="G870" s="5"/>
      <c r="H870" s="5"/>
      <c r="I870" s="5"/>
      <c r="J870" s="5"/>
    </row>
    <row r="871" spans="2:10">
      <c r="B871" s="5"/>
      <c r="C871" s="5"/>
      <c r="D871" s="5"/>
      <c r="E871" s="5"/>
      <c r="F871" s="5"/>
      <c r="G871" s="5"/>
      <c r="H871" s="5"/>
      <c r="I871" s="5"/>
      <c r="J871" s="5"/>
    </row>
    <row r="872" spans="2:10">
      <c r="B872" s="5"/>
      <c r="C872" s="5"/>
      <c r="D872" s="5"/>
      <c r="E872" s="5"/>
      <c r="F872" s="5"/>
      <c r="G872" s="5"/>
      <c r="H872" s="5"/>
      <c r="I872" s="5"/>
      <c r="J872" s="5"/>
    </row>
    <row r="873" spans="2:10">
      <c r="B873" s="5"/>
      <c r="C873" s="5"/>
      <c r="D873" s="5"/>
      <c r="E873" s="5"/>
      <c r="F873" s="5"/>
      <c r="G873" s="5"/>
      <c r="H873" s="5"/>
      <c r="I873" s="5"/>
      <c r="J873" s="5"/>
    </row>
    <row r="874" spans="2:10">
      <c r="B874" s="5"/>
      <c r="C874" s="5"/>
      <c r="D874" s="5"/>
      <c r="E874" s="5"/>
      <c r="F874" s="5"/>
      <c r="G874" s="5"/>
      <c r="H874" s="5"/>
      <c r="I874" s="5"/>
      <c r="J874" s="5"/>
    </row>
    <row r="875" spans="2:10">
      <c r="B875" s="5"/>
      <c r="C875" s="5"/>
      <c r="D875" s="5"/>
      <c r="E875" s="5"/>
      <c r="F875" s="5"/>
      <c r="G875" s="5"/>
      <c r="H875" s="5"/>
      <c r="I875" s="5"/>
      <c r="J875" s="5"/>
    </row>
    <row r="876" spans="2:10">
      <c r="B876" s="5"/>
      <c r="C876" s="5"/>
      <c r="D876" s="5"/>
      <c r="E876" s="5"/>
      <c r="F876" s="5"/>
      <c r="G876" s="5"/>
      <c r="H876" s="5"/>
      <c r="I876" s="5"/>
      <c r="J876" s="5"/>
    </row>
    <row r="877" spans="2:10">
      <c r="B877" s="5"/>
      <c r="C877" s="5"/>
      <c r="D877" s="5"/>
      <c r="E877" s="5"/>
      <c r="F877" s="5"/>
      <c r="G877" s="5"/>
      <c r="H877" s="5"/>
      <c r="I877" s="5"/>
      <c r="J877" s="5"/>
    </row>
    <row r="878" spans="2:10">
      <c r="B878" s="5"/>
      <c r="C878" s="5"/>
      <c r="D878" s="5"/>
      <c r="E878" s="5"/>
      <c r="F878" s="5"/>
      <c r="G878" s="5"/>
      <c r="H878" s="5"/>
      <c r="I878" s="5"/>
      <c r="J878" s="5"/>
    </row>
    <row r="879" spans="2:10">
      <c r="B879" s="5"/>
      <c r="C879" s="5"/>
      <c r="D879" s="5"/>
      <c r="E879" s="5"/>
      <c r="F879" s="5"/>
      <c r="G879" s="5"/>
      <c r="H879" s="5"/>
      <c r="I879" s="5"/>
      <c r="J879" s="5"/>
    </row>
    <row r="880" spans="2:10">
      <c r="B880" s="5"/>
      <c r="C880" s="5"/>
      <c r="D880" s="5"/>
      <c r="E880" s="5"/>
      <c r="F880" s="5"/>
      <c r="G880" s="5"/>
      <c r="H880" s="5"/>
      <c r="I880" s="5"/>
      <c r="J880" s="5"/>
    </row>
    <row r="881" spans="2:10">
      <c r="B881" s="5"/>
      <c r="C881" s="5"/>
      <c r="D881" s="5"/>
      <c r="E881" s="5"/>
      <c r="F881" s="5"/>
      <c r="G881" s="5"/>
      <c r="H881" s="5"/>
      <c r="I881" s="5"/>
      <c r="J881" s="5"/>
    </row>
    <row r="882" spans="2:10">
      <c r="B882" s="5"/>
      <c r="C882" s="5"/>
      <c r="D882" s="5"/>
      <c r="E882" s="5"/>
      <c r="F882" s="5"/>
      <c r="G882" s="5"/>
      <c r="H882" s="5"/>
      <c r="I882" s="5"/>
      <c r="J882" s="5"/>
    </row>
    <row r="883" spans="2:10">
      <c r="B883" s="5"/>
      <c r="C883" s="5"/>
      <c r="D883" s="5"/>
      <c r="E883" s="5"/>
      <c r="F883" s="5"/>
      <c r="G883" s="5"/>
      <c r="H883" s="5"/>
      <c r="I883" s="5"/>
      <c r="J883" s="5"/>
    </row>
    <row r="884" spans="2:10">
      <c r="B884" s="5"/>
      <c r="C884" s="5"/>
      <c r="D884" s="5"/>
      <c r="E884" s="5"/>
      <c r="F884" s="5"/>
      <c r="G884" s="5"/>
      <c r="H884" s="5"/>
      <c r="I884" s="5"/>
      <c r="J884" s="5"/>
    </row>
    <row r="885" spans="2:10">
      <c r="B885" s="5"/>
      <c r="C885" s="5"/>
      <c r="D885" s="5"/>
      <c r="E885" s="5"/>
      <c r="F885" s="5"/>
      <c r="G885" s="5"/>
      <c r="H885" s="5"/>
      <c r="I885" s="5"/>
      <c r="J885" s="5"/>
    </row>
    <row r="886" spans="2:10">
      <c r="B886" s="5"/>
      <c r="C886" s="5"/>
      <c r="D886" s="5"/>
      <c r="E886" s="5"/>
      <c r="F886" s="5"/>
      <c r="G886" s="5"/>
      <c r="H886" s="5"/>
      <c r="I886" s="5"/>
      <c r="J886" s="5"/>
    </row>
    <row r="887" spans="2:10">
      <c r="B887" s="5"/>
      <c r="C887" s="5"/>
      <c r="D887" s="5"/>
      <c r="E887" s="5"/>
      <c r="F887" s="5"/>
      <c r="G887" s="5"/>
      <c r="H887" s="5"/>
      <c r="I887" s="5"/>
      <c r="J887" s="5"/>
    </row>
    <row r="888" spans="2:10">
      <c r="B888" s="5"/>
      <c r="C888" s="5"/>
      <c r="D888" s="5"/>
      <c r="E888" s="5"/>
      <c r="F888" s="5"/>
      <c r="G888" s="5"/>
      <c r="H888" s="5"/>
      <c r="I888" s="5"/>
      <c r="J888" s="5"/>
    </row>
    <row r="889" spans="2:10">
      <c r="B889" s="5"/>
      <c r="C889" s="5"/>
      <c r="D889" s="5"/>
      <c r="E889" s="5"/>
      <c r="F889" s="5"/>
      <c r="G889" s="5"/>
      <c r="H889" s="5"/>
      <c r="I889" s="5"/>
      <c r="J889" s="5"/>
    </row>
    <row r="890" spans="2:10">
      <c r="B890" s="5"/>
      <c r="C890" s="5"/>
      <c r="D890" s="5"/>
      <c r="E890" s="5"/>
      <c r="F890" s="5"/>
      <c r="G890" s="5"/>
      <c r="H890" s="5"/>
      <c r="I890" s="5"/>
      <c r="J890" s="5"/>
    </row>
    <row r="891" spans="2:10">
      <c r="B891" s="5"/>
      <c r="C891" s="5"/>
      <c r="D891" s="5"/>
      <c r="E891" s="5"/>
      <c r="F891" s="5"/>
      <c r="G891" s="5"/>
      <c r="H891" s="5"/>
      <c r="I891" s="5"/>
      <c r="J891" s="5"/>
    </row>
    <row r="892" spans="2:10">
      <c r="B892" s="5"/>
      <c r="C892" s="5"/>
      <c r="D892" s="5"/>
      <c r="E892" s="5"/>
      <c r="F892" s="5"/>
      <c r="G892" s="5"/>
      <c r="H892" s="5"/>
      <c r="I892" s="5"/>
      <c r="J892" s="5"/>
    </row>
    <row r="893" spans="2:10">
      <c r="B893" s="5"/>
      <c r="C893" s="5"/>
      <c r="D893" s="5"/>
      <c r="E893" s="5"/>
      <c r="F893" s="5"/>
      <c r="G893" s="5"/>
      <c r="H893" s="5"/>
      <c r="I893" s="5"/>
      <c r="J893" s="5"/>
    </row>
    <row r="894" spans="2:10">
      <c r="B894" s="5"/>
      <c r="C894" s="5"/>
      <c r="D894" s="5"/>
      <c r="E894" s="5"/>
      <c r="F894" s="5"/>
      <c r="G894" s="5"/>
      <c r="H894" s="5"/>
      <c r="I894" s="5"/>
      <c r="J894" s="5"/>
    </row>
    <row r="895" spans="2:10">
      <c r="B895" s="5"/>
      <c r="C895" s="5"/>
      <c r="D895" s="5"/>
      <c r="E895" s="5"/>
      <c r="F895" s="5"/>
      <c r="G895" s="5"/>
      <c r="H895" s="5"/>
      <c r="I895" s="5"/>
      <c r="J895" s="5"/>
    </row>
    <row r="896" spans="2:10">
      <c r="B896" s="5"/>
      <c r="C896" s="5"/>
      <c r="D896" s="5"/>
      <c r="E896" s="5"/>
      <c r="F896" s="5"/>
      <c r="G896" s="5"/>
      <c r="H896" s="5"/>
      <c r="I896" s="5"/>
      <c r="J896" s="5"/>
    </row>
    <row r="897" spans="2:10">
      <c r="B897" s="5"/>
      <c r="C897" s="5"/>
      <c r="D897" s="5"/>
      <c r="E897" s="5"/>
      <c r="F897" s="5"/>
      <c r="G897" s="5"/>
      <c r="H897" s="5"/>
      <c r="I897" s="5"/>
      <c r="J897" s="5"/>
    </row>
    <row r="898" spans="2:10">
      <c r="B898" s="5"/>
      <c r="C898" s="5"/>
      <c r="D898" s="5"/>
      <c r="E898" s="5"/>
      <c r="F898" s="5"/>
      <c r="G898" s="5"/>
      <c r="H898" s="5"/>
      <c r="I898" s="5"/>
      <c r="J898" s="5"/>
    </row>
    <row r="899" spans="2:10">
      <c r="B899" s="5"/>
      <c r="C899" s="5"/>
      <c r="D899" s="5"/>
      <c r="E899" s="5"/>
      <c r="F899" s="5"/>
      <c r="G899" s="5"/>
      <c r="H899" s="5"/>
      <c r="I899" s="5"/>
      <c r="J899" s="5"/>
    </row>
    <row r="900" spans="2:10">
      <c r="B900" s="5"/>
      <c r="C900" s="5"/>
      <c r="D900" s="5"/>
      <c r="E900" s="5"/>
      <c r="F900" s="5"/>
      <c r="G900" s="5"/>
      <c r="H900" s="5"/>
      <c r="I900" s="5"/>
      <c r="J900" s="5"/>
    </row>
    <row r="901" spans="2:10">
      <c r="B901" s="5"/>
      <c r="C901" s="5"/>
      <c r="D901" s="5"/>
      <c r="E901" s="5"/>
      <c r="F901" s="5"/>
      <c r="G901" s="5"/>
      <c r="H901" s="5"/>
      <c r="I901" s="5"/>
      <c r="J901" s="5"/>
    </row>
    <row r="902" spans="2:10">
      <c r="B902" s="5"/>
      <c r="C902" s="5"/>
      <c r="D902" s="5"/>
      <c r="E902" s="5"/>
      <c r="F902" s="5"/>
      <c r="G902" s="5"/>
      <c r="H902" s="5"/>
      <c r="I902" s="5"/>
      <c r="J902" s="5"/>
    </row>
    <row r="903" spans="2:10">
      <c r="B903" s="5"/>
      <c r="C903" s="5"/>
      <c r="D903" s="5"/>
      <c r="E903" s="5"/>
      <c r="F903" s="5"/>
      <c r="G903" s="5"/>
      <c r="H903" s="5"/>
      <c r="I903" s="5"/>
      <c r="J903" s="5"/>
    </row>
    <row r="904" spans="2:10">
      <c r="B904" s="5"/>
      <c r="C904" s="5"/>
      <c r="D904" s="5"/>
      <c r="E904" s="5"/>
      <c r="F904" s="5"/>
      <c r="G904" s="5"/>
      <c r="H904" s="5"/>
      <c r="I904" s="5"/>
      <c r="J904" s="5"/>
    </row>
    <row r="905" spans="2:10">
      <c r="B905" s="5"/>
      <c r="C905" s="5"/>
      <c r="D905" s="5"/>
      <c r="E905" s="5"/>
      <c r="F905" s="5"/>
      <c r="G905" s="5"/>
      <c r="H905" s="5"/>
      <c r="I905" s="5"/>
      <c r="J905" s="5"/>
    </row>
    <row r="906" spans="2:10">
      <c r="B906" s="5"/>
      <c r="C906" s="5"/>
      <c r="D906" s="5"/>
      <c r="E906" s="5"/>
      <c r="F906" s="5"/>
      <c r="G906" s="5"/>
      <c r="H906" s="5"/>
      <c r="I906" s="5"/>
      <c r="J906" s="5"/>
    </row>
    <row r="907" spans="2:10">
      <c r="B907" s="5"/>
      <c r="C907" s="5"/>
      <c r="D907" s="5"/>
      <c r="E907" s="5"/>
      <c r="F907" s="5"/>
      <c r="G907" s="5"/>
      <c r="H907" s="5"/>
      <c r="I907" s="5"/>
      <c r="J907" s="5"/>
    </row>
    <row r="908" spans="2:10">
      <c r="B908" s="5"/>
      <c r="C908" s="5"/>
      <c r="D908" s="5"/>
      <c r="E908" s="5"/>
      <c r="F908" s="5"/>
      <c r="G908" s="5"/>
      <c r="H908" s="5"/>
      <c r="I908" s="5"/>
      <c r="J908" s="5"/>
    </row>
    <row r="909" spans="2:10">
      <c r="B909" s="5"/>
      <c r="C909" s="5"/>
      <c r="D909" s="5"/>
      <c r="E909" s="5"/>
      <c r="F909" s="5"/>
      <c r="G909" s="5"/>
      <c r="H909" s="5"/>
      <c r="I909" s="5"/>
      <c r="J909" s="5"/>
    </row>
    <row r="910" spans="2:10">
      <c r="B910" s="5"/>
      <c r="C910" s="5"/>
      <c r="D910" s="5"/>
      <c r="E910" s="5"/>
      <c r="F910" s="5"/>
      <c r="G910" s="5"/>
      <c r="H910" s="5"/>
      <c r="I910" s="5"/>
      <c r="J910" s="5"/>
    </row>
    <row r="911" spans="2:10">
      <c r="B911" s="5"/>
      <c r="C911" s="5"/>
      <c r="D911" s="5"/>
      <c r="E911" s="5"/>
      <c r="F911" s="5"/>
      <c r="G911" s="5"/>
      <c r="H911" s="5"/>
      <c r="I911" s="5"/>
      <c r="J911" s="5"/>
    </row>
    <row r="912" spans="2:10">
      <c r="B912" s="5"/>
      <c r="C912" s="5"/>
      <c r="D912" s="5"/>
      <c r="E912" s="5"/>
      <c r="F912" s="5"/>
      <c r="G912" s="5"/>
      <c r="H912" s="5"/>
      <c r="I912" s="5"/>
      <c r="J912" s="5"/>
    </row>
    <row r="913" spans="2:10">
      <c r="B913" s="5"/>
      <c r="C913" s="5"/>
      <c r="D913" s="5"/>
      <c r="E913" s="5"/>
      <c r="F913" s="5"/>
      <c r="G913" s="5"/>
      <c r="H913" s="5"/>
      <c r="I913" s="5"/>
      <c r="J913" s="5"/>
    </row>
    <row r="914" spans="2:10">
      <c r="B914" s="5"/>
      <c r="C914" s="5"/>
      <c r="D914" s="5"/>
      <c r="E914" s="5"/>
      <c r="F914" s="5"/>
      <c r="G914" s="5"/>
      <c r="H914" s="5"/>
      <c r="I914" s="5"/>
      <c r="J914" s="5"/>
    </row>
    <row r="915" spans="2:10">
      <c r="B915" s="5"/>
      <c r="C915" s="5"/>
      <c r="D915" s="5"/>
      <c r="E915" s="5"/>
      <c r="F915" s="5"/>
      <c r="G915" s="5"/>
      <c r="H915" s="5"/>
      <c r="I915" s="5"/>
      <c r="J915" s="5"/>
    </row>
    <row r="916" spans="2:10">
      <c r="B916" s="5"/>
      <c r="C916" s="5"/>
      <c r="D916" s="5"/>
      <c r="E916" s="5"/>
      <c r="F916" s="5"/>
      <c r="G916" s="5"/>
      <c r="H916" s="5"/>
      <c r="I916" s="5"/>
      <c r="J916" s="5"/>
    </row>
    <row r="917" spans="2:10">
      <c r="B917" s="5"/>
      <c r="C917" s="5"/>
      <c r="D917" s="5"/>
      <c r="E917" s="5"/>
      <c r="F917" s="5"/>
      <c r="G917" s="5"/>
      <c r="H917" s="5"/>
      <c r="I917" s="5"/>
      <c r="J917" s="5"/>
    </row>
    <row r="918" spans="2:10">
      <c r="B918" s="5"/>
      <c r="C918" s="5"/>
      <c r="D918" s="5"/>
      <c r="E918" s="5"/>
      <c r="F918" s="5"/>
      <c r="G918" s="5"/>
      <c r="H918" s="5"/>
      <c r="I918" s="5"/>
      <c r="J918" s="5"/>
    </row>
    <row r="919" spans="2:10">
      <c r="B919" s="5"/>
      <c r="C919" s="5"/>
      <c r="D919" s="5"/>
      <c r="E919" s="5"/>
      <c r="F919" s="5"/>
      <c r="G919" s="5"/>
      <c r="H919" s="5"/>
      <c r="I919" s="5"/>
      <c r="J919" s="5"/>
    </row>
    <row r="920" spans="2:10">
      <c r="B920" s="5"/>
      <c r="C920" s="5"/>
      <c r="D920" s="5"/>
      <c r="E920" s="5"/>
      <c r="F920" s="5"/>
      <c r="G920" s="5"/>
      <c r="H920" s="5"/>
      <c r="I920" s="5"/>
      <c r="J920" s="5"/>
    </row>
    <row r="921" spans="2:10">
      <c r="B921" s="5"/>
      <c r="C921" s="5"/>
      <c r="D921" s="5"/>
      <c r="E921" s="5"/>
      <c r="F921" s="5"/>
      <c r="G921" s="5"/>
      <c r="H921" s="5"/>
      <c r="I921" s="5"/>
      <c r="J921" s="5"/>
    </row>
    <row r="922" spans="2:10">
      <c r="B922" s="5"/>
      <c r="C922" s="5"/>
      <c r="D922" s="5"/>
      <c r="E922" s="5"/>
      <c r="F922" s="5"/>
      <c r="G922" s="5"/>
      <c r="H922" s="5"/>
      <c r="I922" s="5"/>
      <c r="J922" s="5"/>
    </row>
    <row r="923" spans="2:10">
      <c r="B923" s="5"/>
      <c r="C923" s="5"/>
      <c r="D923" s="5"/>
      <c r="E923" s="5"/>
      <c r="F923" s="5"/>
      <c r="G923" s="5"/>
      <c r="H923" s="5"/>
      <c r="I923" s="5"/>
      <c r="J923" s="5"/>
    </row>
    <row r="924" spans="2:10">
      <c r="B924" s="5"/>
      <c r="C924" s="5"/>
      <c r="D924" s="5"/>
      <c r="E924" s="5"/>
      <c r="F924" s="5"/>
      <c r="G924" s="5"/>
      <c r="H924" s="5"/>
      <c r="I924" s="5"/>
      <c r="J924" s="5"/>
    </row>
    <row r="925" spans="2:10">
      <c r="B925" s="5"/>
      <c r="C925" s="5"/>
      <c r="D925" s="5"/>
      <c r="E925" s="5"/>
      <c r="F925" s="5"/>
      <c r="G925" s="5"/>
      <c r="H925" s="5"/>
      <c r="I925" s="5"/>
      <c r="J925" s="5"/>
    </row>
    <row r="926" spans="2:10">
      <c r="B926" s="5"/>
      <c r="C926" s="5"/>
      <c r="D926" s="5"/>
      <c r="E926" s="5"/>
      <c r="F926" s="5"/>
      <c r="G926" s="5"/>
      <c r="H926" s="5"/>
      <c r="I926" s="5"/>
      <c r="J926" s="5"/>
    </row>
    <row r="927" spans="2:10">
      <c r="B927" s="5"/>
      <c r="C927" s="5"/>
      <c r="D927" s="5"/>
      <c r="E927" s="5"/>
      <c r="F927" s="5"/>
      <c r="G927" s="5"/>
      <c r="H927" s="5"/>
      <c r="I927" s="5"/>
      <c r="J927" s="5"/>
    </row>
    <row r="928" spans="2:10">
      <c r="B928" s="5"/>
      <c r="C928" s="5"/>
      <c r="D928" s="5"/>
      <c r="E928" s="5"/>
      <c r="F928" s="5"/>
      <c r="G928" s="5"/>
      <c r="H928" s="5"/>
      <c r="I928" s="5"/>
      <c r="J928" s="5"/>
    </row>
    <row r="929" spans="2:10">
      <c r="B929" s="5"/>
      <c r="C929" s="5"/>
      <c r="D929" s="5"/>
      <c r="E929" s="5"/>
      <c r="F929" s="5"/>
      <c r="G929" s="5"/>
      <c r="H929" s="5"/>
      <c r="I929" s="5"/>
      <c r="J929" s="5"/>
    </row>
    <row r="930" spans="2:10">
      <c r="B930" s="5"/>
      <c r="C930" s="5"/>
      <c r="D930" s="5"/>
      <c r="E930" s="5"/>
      <c r="F930" s="5"/>
      <c r="G930" s="5"/>
      <c r="H930" s="5"/>
      <c r="I930" s="5"/>
      <c r="J930" s="5"/>
    </row>
    <row r="931" spans="2:10">
      <c r="B931" s="5"/>
      <c r="C931" s="5"/>
      <c r="D931" s="5"/>
      <c r="E931" s="5"/>
      <c r="F931" s="5"/>
      <c r="G931" s="5"/>
      <c r="H931" s="5"/>
      <c r="I931" s="5"/>
      <c r="J931" s="5"/>
    </row>
    <row r="932" spans="2:10">
      <c r="B932" s="5"/>
      <c r="C932" s="5"/>
      <c r="D932" s="5"/>
      <c r="E932" s="5"/>
      <c r="F932" s="5"/>
      <c r="G932" s="5"/>
      <c r="H932" s="5"/>
      <c r="I932" s="5"/>
      <c r="J932" s="5"/>
    </row>
    <row r="933" spans="2:10">
      <c r="B933" s="5"/>
      <c r="C933" s="5"/>
      <c r="D933" s="5"/>
      <c r="E933" s="5"/>
      <c r="F933" s="5"/>
      <c r="G933" s="5"/>
      <c r="H933" s="5"/>
      <c r="I933" s="5"/>
      <c r="J933" s="5"/>
    </row>
    <row r="934" spans="2:10">
      <c r="B934" s="5"/>
      <c r="C934" s="5"/>
      <c r="D934" s="5"/>
      <c r="E934" s="5"/>
      <c r="F934" s="5"/>
      <c r="G934" s="5"/>
      <c r="H934" s="5"/>
      <c r="I934" s="5"/>
      <c r="J934" s="5"/>
    </row>
    <row r="935" spans="2:10">
      <c r="B935" s="5"/>
      <c r="C935" s="5"/>
      <c r="D935" s="5"/>
      <c r="E935" s="5"/>
      <c r="F935" s="5"/>
      <c r="G935" s="5"/>
      <c r="H935" s="5"/>
      <c r="I935" s="5"/>
      <c r="J935" s="5"/>
    </row>
    <row r="936" spans="2:10">
      <c r="B936" s="5"/>
      <c r="C936" s="5"/>
      <c r="D936" s="5"/>
      <c r="E936" s="5"/>
      <c r="F936" s="5"/>
      <c r="G936" s="5"/>
      <c r="H936" s="5"/>
      <c r="I936" s="5"/>
      <c r="J936" s="5"/>
    </row>
    <row r="937" spans="2:10">
      <c r="B937" s="5"/>
      <c r="C937" s="5"/>
      <c r="D937" s="5"/>
      <c r="E937" s="5"/>
      <c r="F937" s="5"/>
      <c r="G937" s="5"/>
      <c r="H937" s="5"/>
      <c r="I937" s="5"/>
      <c r="J937" s="5"/>
    </row>
    <row r="938" spans="2:10">
      <c r="B938" s="5"/>
      <c r="C938" s="5"/>
      <c r="D938" s="5"/>
      <c r="E938" s="5"/>
      <c r="F938" s="5"/>
      <c r="G938" s="5"/>
      <c r="H938" s="5"/>
      <c r="I938" s="5"/>
      <c r="J938" s="5"/>
    </row>
    <row r="939" spans="2:10">
      <c r="B939" s="5"/>
      <c r="C939" s="5"/>
      <c r="D939" s="5"/>
      <c r="E939" s="5"/>
      <c r="F939" s="5"/>
      <c r="G939" s="5"/>
      <c r="H939" s="5"/>
      <c r="I939" s="5"/>
      <c r="J939" s="5"/>
    </row>
    <row r="940" spans="2:10">
      <c r="B940" s="5"/>
      <c r="C940" s="5"/>
      <c r="D940" s="5"/>
      <c r="E940" s="5"/>
      <c r="F940" s="5"/>
      <c r="G940" s="5"/>
      <c r="H940" s="5"/>
      <c r="I940" s="5"/>
      <c r="J940" s="5"/>
    </row>
    <row r="941" spans="2:10">
      <c r="B941" s="5"/>
      <c r="C941" s="5"/>
      <c r="D941" s="5"/>
      <c r="E941" s="5"/>
      <c r="F941" s="5"/>
      <c r="G941" s="5"/>
      <c r="H941" s="5"/>
      <c r="I941" s="5"/>
      <c r="J941" s="5"/>
    </row>
    <row r="942" spans="2:10">
      <c r="B942" s="5"/>
      <c r="C942" s="5"/>
      <c r="D942" s="5"/>
      <c r="E942" s="5"/>
      <c r="F942" s="5"/>
      <c r="G942" s="5"/>
      <c r="H942" s="5"/>
      <c r="I942" s="5"/>
      <c r="J942" s="5"/>
    </row>
    <row r="943" spans="2:10">
      <c r="B943" s="5"/>
      <c r="C943" s="5"/>
      <c r="D943" s="5"/>
      <c r="E943" s="5"/>
      <c r="F943" s="5"/>
      <c r="G943" s="5"/>
      <c r="H943" s="5"/>
      <c r="I943" s="5"/>
      <c r="J943" s="5"/>
    </row>
    <row r="944" spans="2:10">
      <c r="B944" s="5"/>
      <c r="C944" s="5"/>
      <c r="D944" s="5"/>
      <c r="E944" s="5"/>
      <c r="F944" s="5"/>
      <c r="G944" s="5"/>
      <c r="H944" s="5"/>
      <c r="I944" s="5"/>
      <c r="J944" s="5"/>
    </row>
    <row r="945" spans="2:10">
      <c r="B945" s="5"/>
      <c r="C945" s="5"/>
      <c r="D945" s="5"/>
      <c r="E945" s="5"/>
      <c r="F945" s="5"/>
      <c r="G945" s="5"/>
      <c r="H945" s="5"/>
      <c r="I945" s="5"/>
      <c r="J945" s="5"/>
    </row>
    <row r="946" spans="2:10">
      <c r="B946" s="5"/>
      <c r="C946" s="5"/>
      <c r="D946" s="5"/>
      <c r="E946" s="5"/>
      <c r="F946" s="5"/>
      <c r="G946" s="5"/>
      <c r="H946" s="5"/>
      <c r="I946" s="5"/>
      <c r="J946" s="5"/>
    </row>
    <row r="947" spans="2:10">
      <c r="B947" s="5"/>
      <c r="C947" s="5"/>
      <c r="D947" s="5"/>
      <c r="E947" s="5"/>
      <c r="F947" s="5"/>
      <c r="G947" s="5"/>
      <c r="H947" s="5"/>
      <c r="I947" s="5"/>
      <c r="J947" s="5"/>
    </row>
    <row r="948" spans="2:10">
      <c r="B948" s="5"/>
      <c r="C948" s="5"/>
      <c r="D948" s="5"/>
      <c r="E948" s="5"/>
      <c r="F948" s="5"/>
      <c r="G948" s="5"/>
      <c r="H948" s="5"/>
      <c r="I948" s="5"/>
      <c r="J948" s="5"/>
    </row>
    <row r="949" spans="2:10">
      <c r="B949" s="5"/>
      <c r="C949" s="5"/>
      <c r="D949" s="5"/>
      <c r="E949" s="5"/>
      <c r="F949" s="5"/>
      <c r="G949" s="5"/>
      <c r="H949" s="5"/>
      <c r="I949" s="5"/>
      <c r="J949" s="5"/>
    </row>
    <row r="950" spans="2:10">
      <c r="B950" s="5"/>
      <c r="C950" s="5"/>
      <c r="D950" s="5"/>
      <c r="E950" s="5"/>
      <c r="F950" s="5"/>
      <c r="G950" s="5"/>
      <c r="H950" s="5"/>
      <c r="I950" s="5"/>
      <c r="J950" s="5"/>
    </row>
    <row r="951" spans="2:10">
      <c r="B951" s="5"/>
      <c r="C951" s="5"/>
      <c r="D951" s="5"/>
      <c r="E951" s="5"/>
      <c r="F951" s="5"/>
      <c r="G951" s="5"/>
      <c r="H951" s="5"/>
      <c r="I951" s="5"/>
      <c r="J951" s="5"/>
    </row>
    <row r="952" spans="2:10">
      <c r="B952" s="5"/>
      <c r="C952" s="5"/>
      <c r="D952" s="5"/>
      <c r="E952" s="5"/>
      <c r="F952" s="5"/>
      <c r="G952" s="5"/>
      <c r="H952" s="5"/>
      <c r="I952" s="5"/>
      <c r="J952" s="5"/>
    </row>
    <row r="953" spans="2:10">
      <c r="B953" s="5"/>
      <c r="C953" s="5"/>
      <c r="D953" s="5"/>
      <c r="E953" s="5"/>
      <c r="F953" s="5"/>
      <c r="G953" s="5"/>
      <c r="H953" s="5"/>
      <c r="I953" s="5"/>
      <c r="J953" s="5"/>
    </row>
    <row r="954" spans="2:10">
      <c r="B954" s="5"/>
      <c r="C954" s="5"/>
      <c r="D954" s="5"/>
      <c r="E954" s="5"/>
      <c r="F954" s="5"/>
      <c r="G954" s="5"/>
      <c r="H954" s="5"/>
      <c r="I954" s="5"/>
      <c r="J954" s="5"/>
    </row>
    <row r="955" spans="2:10">
      <c r="B955" s="5"/>
      <c r="C955" s="5"/>
      <c r="D955" s="5"/>
      <c r="E955" s="5"/>
      <c r="F955" s="5"/>
      <c r="G955" s="5"/>
      <c r="H955" s="5"/>
      <c r="I955" s="5"/>
      <c r="J955" s="5"/>
    </row>
    <row r="956" spans="2:10">
      <c r="B956" s="5"/>
      <c r="C956" s="5"/>
      <c r="D956" s="5"/>
      <c r="E956" s="5"/>
      <c r="F956" s="5"/>
      <c r="G956" s="5"/>
      <c r="H956" s="5"/>
      <c r="I956" s="5"/>
      <c r="J956" s="5"/>
    </row>
    <row r="957" spans="2:10">
      <c r="B957" s="5"/>
      <c r="C957" s="5"/>
      <c r="D957" s="5"/>
      <c r="E957" s="5"/>
      <c r="F957" s="5"/>
      <c r="G957" s="5"/>
      <c r="H957" s="5"/>
      <c r="I957" s="5"/>
      <c r="J957" s="5"/>
    </row>
    <row r="958" spans="2:10">
      <c r="B958" s="5"/>
      <c r="C958" s="5"/>
      <c r="D958" s="5"/>
      <c r="E958" s="5"/>
      <c r="F958" s="5"/>
      <c r="G958" s="5"/>
      <c r="H958" s="5"/>
      <c r="I958" s="5"/>
      <c r="J958" s="5"/>
    </row>
    <row r="959" spans="2:10">
      <c r="B959" s="5"/>
      <c r="C959" s="5"/>
      <c r="D959" s="5"/>
      <c r="E959" s="5"/>
      <c r="F959" s="5"/>
      <c r="G959" s="5"/>
      <c r="H959" s="5"/>
      <c r="I959" s="5"/>
      <c r="J959" s="5"/>
    </row>
    <row r="960" spans="2:10">
      <c r="B960" s="5"/>
      <c r="C960" s="5"/>
      <c r="D960" s="5"/>
      <c r="E960" s="5"/>
      <c r="F960" s="5"/>
      <c r="G960" s="5"/>
      <c r="H960" s="5"/>
      <c r="I960" s="5"/>
      <c r="J960" s="5"/>
    </row>
    <row r="961" spans="2:10">
      <c r="B961" s="5"/>
      <c r="C961" s="5"/>
      <c r="D961" s="5"/>
      <c r="E961" s="5"/>
      <c r="F961" s="5"/>
      <c r="G961" s="5"/>
      <c r="H961" s="5"/>
      <c r="I961" s="5"/>
      <c r="J961" s="5"/>
    </row>
    <row r="962" spans="2:10">
      <c r="B962" s="5"/>
      <c r="C962" s="5"/>
      <c r="D962" s="5"/>
      <c r="E962" s="5"/>
      <c r="F962" s="5"/>
      <c r="G962" s="5"/>
      <c r="H962" s="5"/>
      <c r="I962" s="5"/>
      <c r="J962" s="5"/>
    </row>
    <row r="963" spans="2:10">
      <c r="B963" s="5"/>
      <c r="C963" s="5"/>
      <c r="D963" s="5"/>
      <c r="E963" s="5"/>
      <c r="F963" s="5"/>
      <c r="G963" s="5"/>
      <c r="H963" s="5"/>
      <c r="I963" s="5"/>
      <c r="J963" s="5"/>
    </row>
    <row r="964" spans="2:10">
      <c r="B964" s="5"/>
      <c r="C964" s="5"/>
      <c r="D964" s="5"/>
      <c r="E964" s="5"/>
      <c r="F964" s="5"/>
      <c r="G964" s="5"/>
      <c r="H964" s="5"/>
      <c r="I964" s="5"/>
      <c r="J964" s="5"/>
    </row>
    <row r="965" spans="2:10">
      <c r="B965" s="5"/>
      <c r="C965" s="5"/>
      <c r="D965" s="5"/>
      <c r="E965" s="5"/>
      <c r="F965" s="5"/>
      <c r="G965" s="5"/>
      <c r="H965" s="5"/>
      <c r="I965" s="5"/>
      <c r="J965" s="5"/>
    </row>
    <row r="966" spans="2:10">
      <c r="B966" s="5"/>
      <c r="C966" s="5"/>
      <c r="D966" s="5"/>
      <c r="E966" s="5"/>
      <c r="F966" s="5"/>
      <c r="G966" s="5"/>
      <c r="H966" s="5"/>
      <c r="I966" s="5"/>
      <c r="J966" s="5"/>
    </row>
    <row r="967" spans="2:10">
      <c r="B967" s="5"/>
      <c r="C967" s="5"/>
      <c r="D967" s="5"/>
      <c r="E967" s="5"/>
      <c r="F967" s="5"/>
      <c r="G967" s="5"/>
      <c r="H967" s="5"/>
      <c r="I967" s="5"/>
      <c r="J967" s="5"/>
    </row>
    <row r="968" spans="2:10">
      <c r="B968" s="5"/>
      <c r="C968" s="5"/>
      <c r="D968" s="5"/>
      <c r="E968" s="5"/>
      <c r="F968" s="5"/>
      <c r="G968" s="5"/>
      <c r="H968" s="5"/>
      <c r="I968" s="5"/>
      <c r="J968" s="5"/>
    </row>
    <row r="969" spans="2:10">
      <c r="B969" s="5"/>
      <c r="C969" s="5"/>
      <c r="D969" s="5"/>
      <c r="E969" s="5"/>
      <c r="F969" s="5"/>
      <c r="G969" s="5"/>
      <c r="H969" s="5"/>
      <c r="I969" s="5"/>
      <c r="J969" s="5"/>
    </row>
    <row r="970" spans="2:10">
      <c r="B970" s="5"/>
      <c r="C970" s="5"/>
      <c r="D970" s="5"/>
      <c r="E970" s="5"/>
      <c r="F970" s="5"/>
      <c r="G970" s="5"/>
      <c r="H970" s="5"/>
      <c r="I970" s="5"/>
      <c r="J970" s="5"/>
    </row>
    <row r="971" spans="2:10">
      <c r="B971" s="5"/>
      <c r="C971" s="5"/>
      <c r="D971" s="5"/>
      <c r="E971" s="5"/>
      <c r="F971" s="5"/>
      <c r="G971" s="5"/>
      <c r="H971" s="5"/>
      <c r="I971" s="5"/>
      <c r="J971" s="5"/>
    </row>
    <row r="972" spans="2:10">
      <c r="B972" s="5"/>
      <c r="C972" s="5"/>
      <c r="D972" s="5"/>
      <c r="E972" s="5"/>
      <c r="F972" s="5"/>
      <c r="G972" s="5"/>
      <c r="H972" s="5"/>
      <c r="I972" s="5"/>
      <c r="J972" s="5"/>
    </row>
    <row r="973" spans="2:10">
      <c r="B973" s="5"/>
      <c r="C973" s="5"/>
      <c r="D973" s="5"/>
      <c r="E973" s="5"/>
      <c r="F973" s="5"/>
      <c r="G973" s="5"/>
      <c r="H973" s="5"/>
      <c r="I973" s="5"/>
      <c r="J973" s="5"/>
    </row>
    <row r="974" spans="2:10">
      <c r="B974" s="5"/>
      <c r="C974" s="5"/>
      <c r="D974" s="5"/>
      <c r="E974" s="5"/>
      <c r="F974" s="5"/>
      <c r="G974" s="5"/>
      <c r="H974" s="5"/>
      <c r="I974" s="5"/>
      <c r="J974" s="5"/>
    </row>
    <row r="975" spans="2:10">
      <c r="B975" s="5"/>
      <c r="C975" s="5"/>
      <c r="D975" s="5"/>
      <c r="E975" s="5"/>
      <c r="F975" s="5"/>
      <c r="G975" s="5"/>
      <c r="H975" s="5"/>
      <c r="I975" s="5"/>
      <c r="J975" s="5"/>
    </row>
    <row r="976" spans="2:10">
      <c r="B976" s="5"/>
      <c r="C976" s="5"/>
      <c r="D976" s="5"/>
      <c r="E976" s="5"/>
      <c r="F976" s="5"/>
      <c r="G976" s="5"/>
      <c r="H976" s="5"/>
      <c r="I976" s="5"/>
      <c r="J976" s="5"/>
    </row>
    <row r="977" spans="2:10">
      <c r="B977" s="5"/>
      <c r="C977" s="5"/>
      <c r="D977" s="5"/>
      <c r="E977" s="5"/>
      <c r="F977" s="5"/>
      <c r="G977" s="5"/>
      <c r="H977" s="5"/>
      <c r="I977" s="5"/>
      <c r="J977" s="5"/>
    </row>
    <row r="978" spans="2:10">
      <c r="B978" s="5"/>
      <c r="C978" s="5"/>
      <c r="D978" s="5"/>
      <c r="E978" s="5"/>
      <c r="F978" s="5"/>
      <c r="G978" s="5"/>
      <c r="H978" s="5"/>
      <c r="I978" s="5"/>
      <c r="J978" s="5"/>
    </row>
    <row r="979" spans="2:10">
      <c r="B979" s="5"/>
      <c r="C979" s="5"/>
      <c r="D979" s="5"/>
      <c r="E979" s="5"/>
      <c r="F979" s="5"/>
      <c r="G979" s="5"/>
      <c r="H979" s="5"/>
      <c r="I979" s="5"/>
      <c r="J979" s="5"/>
    </row>
    <row r="980" spans="2:10">
      <c r="B980" s="5"/>
      <c r="C980" s="5"/>
      <c r="D980" s="5"/>
      <c r="E980" s="5"/>
      <c r="F980" s="5"/>
      <c r="G980" s="5"/>
      <c r="H980" s="5"/>
      <c r="I980" s="5"/>
      <c r="J980" s="5"/>
    </row>
    <row r="981" spans="2:10">
      <c r="B981" s="5"/>
      <c r="C981" s="5"/>
      <c r="D981" s="5"/>
      <c r="E981" s="5"/>
      <c r="F981" s="5"/>
      <c r="G981" s="5"/>
      <c r="H981" s="5"/>
      <c r="I981" s="5"/>
      <c r="J981" s="5"/>
    </row>
    <row r="982" spans="2:10">
      <c r="B982" s="5"/>
      <c r="C982" s="5"/>
      <c r="D982" s="5"/>
      <c r="E982" s="5"/>
      <c r="F982" s="5"/>
      <c r="G982" s="5"/>
      <c r="H982" s="5"/>
      <c r="I982" s="5"/>
      <c r="J982" s="5"/>
    </row>
    <row r="983" spans="2:10">
      <c r="B983" s="5"/>
      <c r="C983" s="5"/>
      <c r="D983" s="5"/>
      <c r="E983" s="5"/>
      <c r="F983" s="5"/>
      <c r="G983" s="5"/>
      <c r="H983" s="5"/>
      <c r="I983" s="5"/>
      <c r="J983" s="5"/>
    </row>
    <row r="984" spans="2:10">
      <c r="B984" s="5"/>
      <c r="C984" s="5"/>
      <c r="D984" s="5"/>
      <c r="E984" s="5"/>
      <c r="F984" s="5"/>
      <c r="G984" s="5"/>
      <c r="H984" s="5"/>
      <c r="I984" s="5"/>
      <c r="J984" s="5"/>
    </row>
    <row r="985" spans="2:10">
      <c r="B985" s="5"/>
      <c r="C985" s="5"/>
      <c r="D985" s="5"/>
      <c r="E985" s="5"/>
      <c r="F985" s="5"/>
      <c r="G985" s="5"/>
      <c r="H985" s="5"/>
      <c r="I985" s="5"/>
      <c r="J985" s="5"/>
    </row>
    <row r="986" spans="2:10">
      <c r="B986" s="5"/>
      <c r="C986" s="5"/>
      <c r="D986" s="5"/>
      <c r="E986" s="5"/>
      <c r="F986" s="5"/>
      <c r="G986" s="5"/>
      <c r="H986" s="5"/>
      <c r="I986" s="5"/>
      <c r="J986" s="5"/>
    </row>
    <row r="987" spans="2:10">
      <c r="B987" s="5"/>
      <c r="C987" s="5"/>
      <c r="D987" s="5"/>
      <c r="E987" s="5"/>
      <c r="F987" s="5"/>
      <c r="G987" s="5"/>
      <c r="H987" s="5"/>
      <c r="I987" s="5"/>
      <c r="J987" s="5"/>
    </row>
    <row r="988" spans="2:10">
      <c r="B988" s="5"/>
      <c r="C988" s="5"/>
      <c r="D988" s="5"/>
      <c r="E988" s="5"/>
      <c r="F988" s="5"/>
      <c r="G988" s="5"/>
      <c r="H988" s="5"/>
      <c r="I988" s="5"/>
      <c r="J988" s="5"/>
    </row>
    <row r="989" spans="2:10">
      <c r="B989" s="5"/>
      <c r="C989" s="5"/>
      <c r="D989" s="5"/>
      <c r="E989" s="5"/>
      <c r="F989" s="5"/>
      <c r="G989" s="5"/>
      <c r="H989" s="5"/>
      <c r="I989" s="5"/>
      <c r="J989" s="5"/>
    </row>
    <row r="990" spans="2:10">
      <c r="B990" s="5"/>
      <c r="C990" s="5"/>
      <c r="D990" s="5"/>
      <c r="E990" s="5"/>
      <c r="F990" s="5"/>
      <c r="G990" s="5"/>
      <c r="H990" s="5"/>
      <c r="I990" s="5"/>
      <c r="J990" s="5"/>
    </row>
    <row r="991" spans="2:10">
      <c r="B991" s="5"/>
      <c r="C991" s="5"/>
      <c r="D991" s="5"/>
      <c r="E991" s="5"/>
      <c r="F991" s="5"/>
      <c r="G991" s="5"/>
      <c r="H991" s="5"/>
      <c r="I991" s="5"/>
      <c r="J991" s="5"/>
    </row>
    <row r="992" spans="2:10">
      <c r="B992" s="5"/>
      <c r="C992" s="5"/>
      <c r="D992" s="5"/>
      <c r="E992" s="5"/>
      <c r="F992" s="5"/>
      <c r="G992" s="5"/>
      <c r="H992" s="5"/>
      <c r="I992" s="5"/>
      <c r="J992" s="5"/>
    </row>
    <row r="993" spans="2:10">
      <c r="B993" s="5"/>
      <c r="C993" s="5"/>
      <c r="D993" s="5"/>
      <c r="E993" s="5"/>
      <c r="F993" s="5"/>
      <c r="G993" s="5"/>
      <c r="H993" s="5"/>
      <c r="I993" s="5"/>
      <c r="J993" s="5"/>
    </row>
    <row r="994" spans="2:10">
      <c r="B994" s="5"/>
      <c r="C994" s="5"/>
      <c r="D994" s="5"/>
      <c r="E994" s="5"/>
      <c r="F994" s="5"/>
      <c r="G994" s="5"/>
      <c r="H994" s="5"/>
      <c r="I994" s="5"/>
      <c r="J994" s="5"/>
    </row>
    <row r="995" spans="2:10">
      <c r="B995" s="5"/>
      <c r="C995" s="5"/>
      <c r="D995" s="5"/>
      <c r="E995" s="5"/>
      <c r="F995" s="5"/>
      <c r="G995" s="5"/>
      <c r="H995" s="5"/>
      <c r="I995" s="5"/>
      <c r="J995" s="5"/>
    </row>
    <row r="996" spans="2:10">
      <c r="B996" s="5"/>
      <c r="C996" s="5"/>
      <c r="D996" s="5"/>
      <c r="E996" s="5"/>
      <c r="F996" s="5"/>
      <c r="G996" s="5"/>
      <c r="H996" s="5"/>
      <c r="I996" s="5"/>
      <c r="J996" s="5"/>
    </row>
    <row r="997" spans="2:10">
      <c r="B997" s="5"/>
      <c r="C997" s="5"/>
      <c r="D997" s="5"/>
      <c r="E997" s="5"/>
      <c r="F997" s="5"/>
      <c r="G997" s="5"/>
      <c r="H997" s="5"/>
      <c r="I997" s="5"/>
      <c r="J997" s="5"/>
    </row>
    <row r="998" spans="2:10">
      <c r="B998" s="5"/>
      <c r="C998" s="5"/>
      <c r="D998" s="5"/>
      <c r="E998" s="5"/>
      <c r="F998" s="5"/>
      <c r="G998" s="5"/>
      <c r="H998" s="5"/>
      <c r="I998" s="5"/>
      <c r="J998" s="5"/>
    </row>
    <row r="999" spans="2:10">
      <c r="B999" s="5"/>
      <c r="C999" s="5"/>
      <c r="D999" s="5"/>
      <c r="E999" s="5"/>
      <c r="F999" s="5"/>
      <c r="G999" s="5"/>
      <c r="H999" s="5"/>
      <c r="I999" s="5"/>
      <c r="J999" s="5"/>
    </row>
    <row r="1000" spans="2:10">
      <c r="B1000" s="5"/>
      <c r="C1000" s="5"/>
      <c r="D1000" s="5"/>
      <c r="E1000" s="5"/>
      <c r="F1000" s="5"/>
      <c r="G1000" s="5"/>
      <c r="H1000" s="5"/>
      <c r="I1000" s="5"/>
      <c r="J1000" s="5"/>
    </row>
    <row r="1001" spans="2:10">
      <c r="B1001" s="5"/>
      <c r="C1001" s="5"/>
      <c r="D1001" s="5"/>
      <c r="E1001" s="5"/>
      <c r="F1001" s="5"/>
      <c r="G1001" s="5"/>
      <c r="H1001" s="5"/>
      <c r="I1001" s="5"/>
      <c r="J1001" s="5"/>
    </row>
    <row r="1002" spans="2:10">
      <c r="B1002" s="5"/>
      <c r="C1002" s="5"/>
      <c r="D1002" s="5"/>
      <c r="E1002" s="5"/>
      <c r="F1002" s="5"/>
      <c r="G1002" s="5"/>
      <c r="H1002" s="5"/>
      <c r="I1002" s="5"/>
      <c r="J1002" s="5"/>
    </row>
    <row r="1003" spans="2:10">
      <c r="B1003" s="5"/>
      <c r="C1003" s="5"/>
      <c r="D1003" s="5"/>
      <c r="E1003" s="5"/>
      <c r="F1003" s="5"/>
      <c r="G1003" s="5"/>
      <c r="H1003" s="5"/>
      <c r="I1003" s="5"/>
      <c r="J1003" s="5"/>
    </row>
    <row r="1004" spans="2:10">
      <c r="B1004" s="5"/>
      <c r="C1004" s="5"/>
      <c r="D1004" s="5"/>
      <c r="E1004" s="5"/>
      <c r="F1004" s="5"/>
      <c r="G1004" s="5"/>
      <c r="H1004" s="5"/>
      <c r="I1004" s="5"/>
      <c r="J1004" s="5"/>
    </row>
    <row r="1005" spans="2:10">
      <c r="B1005" s="5"/>
      <c r="C1005" s="5"/>
      <c r="D1005" s="5"/>
      <c r="E1005" s="5"/>
      <c r="F1005" s="5"/>
      <c r="G1005" s="5"/>
      <c r="H1005" s="5"/>
      <c r="I1005" s="5"/>
    </row>
    <row r="1006" spans="2:10">
      <c r="B1006" s="5"/>
      <c r="C1006" s="5"/>
      <c r="D1006" s="5"/>
      <c r="E1006" s="5"/>
      <c r="F1006" s="5"/>
      <c r="G1006" s="5"/>
      <c r="H1006" s="5"/>
      <c r="I1006" s="5"/>
    </row>
  </sheetData>
  <sheetProtection algorithmName="SHA-512" hashValue="qmeFoTsJVvdeyTtnKtdvUCcneK/WD4Uj8L74moaDPudb0ZLIDceOg6c0afrmpy/wyg4cdWR7gW1/vHHXn6v8sg==" saltValue="/DAMDCG0jBWW+iBC6qTayA==" spinCount="100000" sheet="1" objects="1" scenarios="1"/>
  <mergeCells count="24">
    <mergeCell ref="G28:H28"/>
    <mergeCell ref="G30:H30"/>
    <mergeCell ref="G21:H21"/>
    <mergeCell ref="G23:H23"/>
    <mergeCell ref="B25:B27"/>
    <mergeCell ref="G25:H25"/>
    <mergeCell ref="G26:G27"/>
    <mergeCell ref="H26:H27"/>
    <mergeCell ref="C18:C19"/>
    <mergeCell ref="G19:H19"/>
    <mergeCell ref="B2:I3"/>
    <mergeCell ref="F5:H5"/>
    <mergeCell ref="E9:H9"/>
    <mergeCell ref="E10:H10"/>
    <mergeCell ref="F11:F12"/>
    <mergeCell ref="G11:H11"/>
    <mergeCell ref="B12:B13"/>
    <mergeCell ref="E12:E13"/>
    <mergeCell ref="G13:H13"/>
    <mergeCell ref="B14:B15"/>
    <mergeCell ref="F15:F16"/>
    <mergeCell ref="G15:H15"/>
    <mergeCell ref="I15:I16"/>
    <mergeCell ref="G17:H17"/>
  </mergeCells>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topLeftCell="A11" workbookViewId="0">
      <selection activeCell="D17" sqref="D17"/>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14</v>
      </c>
      <c r="C1" s="136"/>
      <c r="D1" s="166" t="s">
        <v>289</v>
      </c>
      <c r="E1" s="166"/>
      <c r="F1" s="160"/>
      <c r="G1" s="136"/>
      <c r="H1" s="136"/>
      <c r="I1" s="172" t="s">
        <v>310</v>
      </c>
      <c r="J1" s="136"/>
      <c r="K1" s="136"/>
      <c r="L1" s="136"/>
      <c r="M1" s="136"/>
      <c r="N1" s="136"/>
      <c r="O1" s="136"/>
      <c r="P1" s="136"/>
      <c r="Q1" s="136"/>
      <c r="R1" s="136"/>
    </row>
    <row r="2" spans="2:18">
      <c r="B2" s="159" t="s">
        <v>25</v>
      </c>
      <c r="C2" s="136" t="s">
        <v>456</v>
      </c>
      <c r="D2" s="136"/>
      <c r="E2" s="136"/>
      <c r="F2" s="136"/>
      <c r="G2" s="136"/>
      <c r="H2" s="136"/>
      <c r="I2" s="136"/>
      <c r="J2" s="136"/>
      <c r="K2" s="136"/>
      <c r="L2" s="136"/>
      <c r="M2" s="136"/>
      <c r="N2" s="136"/>
      <c r="O2" s="136"/>
      <c r="P2" s="136"/>
      <c r="Q2" s="136"/>
      <c r="R2" s="136"/>
    </row>
    <row r="3" spans="2:18">
      <c r="B3" s="137" t="s">
        <v>311</v>
      </c>
      <c r="C3" s="137" t="s">
        <v>340</v>
      </c>
      <c r="D3" s="137" t="s">
        <v>341</v>
      </c>
      <c r="E3" s="137" t="s">
        <v>342</v>
      </c>
      <c r="F3" s="137" t="s">
        <v>343</v>
      </c>
      <c r="G3" s="137" t="s">
        <v>344</v>
      </c>
      <c r="H3" s="137" t="s">
        <v>345</v>
      </c>
      <c r="I3" s="137" t="s">
        <v>346</v>
      </c>
      <c r="J3" s="137" t="s">
        <v>347</v>
      </c>
      <c r="K3" s="137" t="s">
        <v>348</v>
      </c>
      <c r="L3" s="137" t="s">
        <v>803</v>
      </c>
      <c r="M3" s="137"/>
      <c r="N3" s="137"/>
      <c r="O3" s="137"/>
      <c r="P3" s="137"/>
      <c r="Q3" s="137"/>
      <c r="R3" s="137"/>
    </row>
    <row r="4" spans="2:18" ht="39.6">
      <c r="B4" s="170" t="s">
        <v>270</v>
      </c>
      <c r="C4" s="170" t="s">
        <v>349</v>
      </c>
      <c r="D4" s="170" t="s">
        <v>272</v>
      </c>
      <c r="E4" s="170" t="s">
        <v>788</v>
      </c>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350</v>
      </c>
      <c r="D5" s="138" t="s">
        <v>801</v>
      </c>
      <c r="E5" s="138" t="s">
        <v>789</v>
      </c>
      <c r="F5" s="138" t="s">
        <v>282</v>
      </c>
      <c r="G5" s="138" t="s">
        <v>790</v>
      </c>
      <c r="H5" s="138" t="s">
        <v>283</v>
      </c>
      <c r="I5" s="138" t="s">
        <v>981</v>
      </c>
      <c r="J5" s="138" t="s">
        <v>791</v>
      </c>
      <c r="K5" s="138" t="s">
        <v>804</v>
      </c>
      <c r="L5" s="138" t="s">
        <v>805</v>
      </c>
      <c r="N5" s="138"/>
      <c r="P5" s="138"/>
      <c r="Q5" s="138"/>
      <c r="R5" s="138"/>
    </row>
    <row r="6" spans="2:18">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456</v>
      </c>
      <c r="C34" s="164"/>
      <c r="D34" s="164"/>
      <c r="E34" s="164"/>
      <c r="F34" s="164"/>
      <c r="G34" s="164"/>
      <c r="H34" s="164"/>
      <c r="I34" s="164"/>
      <c r="J34" s="164"/>
      <c r="K34" s="164"/>
      <c r="L34" s="164"/>
      <c r="M34" s="164"/>
      <c r="N34" s="164"/>
      <c r="O34" s="164"/>
      <c r="P34" s="164"/>
      <c r="Q34" s="164"/>
      <c r="R34" s="164"/>
    </row>
    <row r="35" spans="1:18">
      <c r="B35" s="176" t="s">
        <v>350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UHAw4jmHPq4LnvoJcfpvhDn5iMD9+ZEz/zjp9kyVLsW7VD93nanZ7CYDMpOMf0i49I3pbizsCvOx03+3pPcjsw==" saltValue="PMu0KEFny05estvg53bVCQ==" spinCount="100000" sheet="1" objects="1" scenarios="1"/>
  <conditionalFormatting sqref="D92:E92 G92 C93 F93 H93:I93">
    <cfRule type="expression" dxfId="196"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workbookViewId="0">
      <selection activeCell="R4" sqref="R4"/>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287" t="s">
        <v>778</v>
      </c>
      <c r="C2" s="1288"/>
      <c r="D2" s="1288"/>
      <c r="E2" s="1288"/>
      <c r="F2" s="1288"/>
      <c r="G2" s="1288"/>
      <c r="H2" s="1288"/>
      <c r="I2" s="1288"/>
      <c r="J2" s="1288"/>
      <c r="K2" s="1288"/>
      <c r="L2" s="1288"/>
      <c r="M2" s="1288"/>
      <c r="N2" s="1288"/>
      <c r="O2" s="1288"/>
      <c r="P2" s="1288"/>
      <c r="Q2" s="1288"/>
      <c r="R2" s="1288"/>
      <c r="S2" s="1289"/>
      <c r="T2" s="111"/>
    </row>
    <row r="3" spans="1:20" ht="5.4" customHeight="1">
      <c r="A3" s="118"/>
      <c r="B3" s="396"/>
      <c r="S3" s="397"/>
      <c r="T3" s="111"/>
    </row>
    <row r="4" spans="1:20" ht="17.100000000000001" customHeight="1">
      <c r="A4" s="118"/>
      <c r="B4" s="396"/>
      <c r="E4" s="52"/>
      <c r="F4" s="346" t="s">
        <v>62</v>
      </c>
      <c r="G4" s="1257" t="str">
        <f>IF(ISBLANK('Start Page'!AB9),"&lt;&lt; Please enter system details on the Start Page &gt;&gt;",'Start Page'!AB9&amp;IF(ISBLANK('Start Page'!AM28),"","  ("&amp;'Start Page'!AM28&amp;")"))</f>
        <v>&lt;&lt; Please enter system details on the Start Page &gt;&gt;</v>
      </c>
      <c r="H4" s="1258"/>
      <c r="I4" s="1258"/>
      <c r="J4" s="1258"/>
      <c r="K4" s="1258"/>
      <c r="L4" s="1258"/>
      <c r="M4" s="1258"/>
      <c r="N4" s="1258"/>
      <c r="O4" s="1259"/>
      <c r="S4" s="397"/>
      <c r="T4" s="111"/>
    </row>
    <row r="5" spans="1:20" ht="17.100000000000001" customHeight="1">
      <c r="A5" s="118"/>
      <c r="B5" s="396"/>
      <c r="E5"/>
      <c r="F5" s="346" t="s">
        <v>708</v>
      </c>
      <c r="G5" s="398" t="str">
        <f>IF(ISBLANK('Start Page'!AB18),"",'Start Page'!AB18)</f>
        <v/>
      </c>
      <c r="H5" s="1276" t="str">
        <f>IF(ISBLANK('Start Page'!AB20),"",TEXT('Start Page'!AB20,"mmm dd yyyy")&amp;" - "&amp;TEXT('Start Page'!AB21,"mmm dd yyyy"))</f>
        <v/>
      </c>
      <c r="I5" s="1277"/>
      <c r="J5" s="1278"/>
      <c r="K5" s="883"/>
      <c r="L5" s="883"/>
      <c r="M5" s="883"/>
      <c r="N5" s="883"/>
      <c r="O5" s="883"/>
      <c r="S5" s="397"/>
      <c r="T5" s="111"/>
    </row>
    <row r="6" spans="1:20" ht="17.100000000000001" customHeight="1">
      <c r="A6" s="118"/>
      <c r="B6" s="396"/>
      <c r="E6"/>
      <c r="F6" s="346" t="s">
        <v>675</v>
      </c>
      <c r="G6" s="1273" t="str">
        <f>IF(OR(ISBLANK('Start Page'!AB22:AL22),'M36 Refs'!AN118&gt;0),"Additional data entry required",Dashboard!BR4)</f>
        <v>Additional data entry required</v>
      </c>
      <c r="H6" s="1274"/>
      <c r="I6" s="1275"/>
      <c r="J6" s="883"/>
      <c r="K6" s="883"/>
      <c r="L6" s="883"/>
      <c r="M6" s="883"/>
      <c r="N6" s="883"/>
      <c r="O6" s="883"/>
      <c r="S6" s="397"/>
      <c r="T6" s="111"/>
    </row>
    <row r="7" spans="1:20" ht="6" customHeight="1" thickBot="1">
      <c r="A7" s="118"/>
      <c r="B7" s="396"/>
      <c r="S7" s="397"/>
      <c r="T7" s="111"/>
    </row>
    <row r="8" spans="1:20" ht="26.1" customHeight="1" thickBot="1">
      <c r="A8" s="118"/>
      <c r="B8" s="396"/>
      <c r="C8" s="1260" t="s">
        <v>60</v>
      </c>
      <c r="D8" s="1261"/>
      <c r="E8" s="1261"/>
      <c r="F8" s="1261"/>
      <c r="G8" s="1261"/>
      <c r="H8" s="1261"/>
      <c r="I8" s="1261"/>
      <c r="J8" s="1261"/>
      <c r="K8" s="1261"/>
      <c r="L8" s="1261"/>
      <c r="M8" s="1261"/>
      <c r="N8" s="1261"/>
      <c r="O8" s="1261"/>
      <c r="P8" s="1261"/>
      <c r="Q8" s="1261"/>
      <c r="R8" s="1262"/>
      <c r="S8" s="397"/>
      <c r="T8" s="111"/>
    </row>
    <row r="9" spans="1:20" ht="18.75" customHeight="1" thickTop="1">
      <c r="A9" s="118"/>
      <c r="B9" s="396"/>
      <c r="C9" s="399"/>
      <c r="D9" s="1269" t="s">
        <v>709</v>
      </c>
      <c r="E9" s="1270"/>
      <c r="F9" s="1270"/>
      <c r="G9" s="1270"/>
      <c r="H9" s="1270"/>
      <c r="I9" s="1270"/>
      <c r="J9" s="1270"/>
      <c r="K9" s="1270"/>
      <c r="L9" s="1270"/>
      <c r="M9" s="1270"/>
      <c r="N9" s="1270"/>
      <c r="O9" s="1270"/>
      <c r="P9" s="1270"/>
      <c r="Q9" s="1270"/>
      <c r="R9" s="1271"/>
      <c r="S9" s="397"/>
      <c r="T9" s="111"/>
    </row>
    <row r="10" spans="1:20" ht="34.5" customHeight="1" thickBot="1">
      <c r="A10" s="118"/>
      <c r="B10" s="396"/>
      <c r="C10" s="400" t="s">
        <v>61</v>
      </c>
      <c r="D10" s="1272" t="s">
        <v>776</v>
      </c>
      <c r="E10" s="1267"/>
      <c r="F10" s="1268"/>
      <c r="G10" s="1266" t="s">
        <v>257</v>
      </c>
      <c r="H10" s="1267"/>
      <c r="I10" s="1268"/>
      <c r="J10" s="1266" t="s">
        <v>258</v>
      </c>
      <c r="K10" s="1267"/>
      <c r="L10" s="1268"/>
      <c r="M10" s="1266" t="s">
        <v>259</v>
      </c>
      <c r="N10" s="1267"/>
      <c r="O10" s="1268"/>
      <c r="P10" s="1266" t="s">
        <v>260</v>
      </c>
      <c r="Q10" s="1267"/>
      <c r="R10" s="1301"/>
      <c r="S10" s="397"/>
      <c r="T10" s="111"/>
    </row>
    <row r="11" spans="1:20" ht="61.95" customHeight="1" thickTop="1">
      <c r="A11" s="118"/>
      <c r="B11" s="396"/>
      <c r="C11" s="401" t="s">
        <v>66</v>
      </c>
      <c r="D11" s="1303" t="s">
        <v>1106</v>
      </c>
      <c r="E11" s="1264"/>
      <c r="F11" s="1302"/>
      <c r="G11" s="1263" t="s">
        <v>1105</v>
      </c>
      <c r="H11" s="1264"/>
      <c r="I11" s="1302"/>
      <c r="J11" s="1263" t="s">
        <v>67</v>
      </c>
      <c r="K11" s="1264"/>
      <c r="L11" s="1265"/>
      <c r="M11" s="1263" t="s">
        <v>16</v>
      </c>
      <c r="N11" s="1264"/>
      <c r="O11" s="1265"/>
      <c r="P11" s="1263" t="s">
        <v>17</v>
      </c>
      <c r="Q11" s="1264"/>
      <c r="R11" s="1265"/>
      <c r="S11" s="397"/>
      <c r="T11" s="111"/>
    </row>
    <row r="12" spans="1:20" ht="78" customHeight="1">
      <c r="A12" s="118"/>
      <c r="B12" s="396"/>
      <c r="C12" s="402" t="s">
        <v>18</v>
      </c>
      <c r="D12" s="1300" t="s">
        <v>1107</v>
      </c>
      <c r="E12" s="1280"/>
      <c r="F12" s="1285"/>
      <c r="G12" s="1279" t="s">
        <v>1104</v>
      </c>
      <c r="H12" s="1280"/>
      <c r="I12" s="1285"/>
      <c r="J12" s="1279" t="s">
        <v>19</v>
      </c>
      <c r="K12" s="1280"/>
      <c r="L12" s="1281"/>
      <c r="M12" s="1279" t="s">
        <v>20</v>
      </c>
      <c r="N12" s="1280"/>
      <c r="O12" s="1281"/>
      <c r="P12" s="1279" t="s">
        <v>121</v>
      </c>
      <c r="Q12" s="1280"/>
      <c r="R12" s="1281"/>
      <c r="S12" s="397"/>
      <c r="T12" s="111"/>
    </row>
    <row r="13" spans="1:20" ht="105.75" customHeight="1">
      <c r="A13" s="118"/>
      <c r="B13" s="396"/>
      <c r="C13" s="402" t="s">
        <v>122</v>
      </c>
      <c r="D13" s="1282"/>
      <c r="E13" s="1283"/>
      <c r="F13" s="1284"/>
      <c r="G13" s="1279" t="s">
        <v>1102</v>
      </c>
      <c r="H13" s="1280"/>
      <c r="I13" s="1285"/>
      <c r="J13" s="1279" t="s">
        <v>1103</v>
      </c>
      <c r="K13" s="1280"/>
      <c r="L13" s="1281"/>
      <c r="M13" s="1279" t="s">
        <v>65</v>
      </c>
      <c r="N13" s="1280"/>
      <c r="O13" s="1281"/>
      <c r="P13" s="1279" t="s">
        <v>32</v>
      </c>
      <c r="Q13" s="1280"/>
      <c r="R13" s="1281"/>
      <c r="S13" s="397"/>
      <c r="T13" s="111"/>
    </row>
    <row r="14" spans="1:20" ht="68.25" customHeight="1">
      <c r="A14" s="118"/>
      <c r="B14" s="396"/>
      <c r="C14" s="402" t="s">
        <v>33</v>
      </c>
      <c r="D14" s="1282"/>
      <c r="E14" s="1283"/>
      <c r="F14" s="1284"/>
      <c r="G14" s="1286"/>
      <c r="H14" s="1283"/>
      <c r="I14" s="1284"/>
      <c r="J14" s="1279" t="s">
        <v>34</v>
      </c>
      <c r="K14" s="1280"/>
      <c r="L14" s="1281"/>
      <c r="M14" s="1279" t="s">
        <v>35</v>
      </c>
      <c r="N14" s="1280"/>
      <c r="O14" s="1281"/>
      <c r="P14" s="1279" t="s">
        <v>36</v>
      </c>
      <c r="Q14" s="1280"/>
      <c r="R14" s="1281"/>
      <c r="S14" s="397"/>
      <c r="T14" s="111"/>
    </row>
    <row r="15" spans="1:20" ht="84" customHeight="1" thickBot="1">
      <c r="A15" s="118"/>
      <c r="B15" s="396"/>
      <c r="C15" s="403" t="s">
        <v>37</v>
      </c>
      <c r="D15" s="1293"/>
      <c r="E15" s="1294"/>
      <c r="F15" s="1295"/>
      <c r="G15" s="1296"/>
      <c r="H15" s="1294"/>
      <c r="I15" s="1295"/>
      <c r="J15" s="1297" t="s">
        <v>1088</v>
      </c>
      <c r="K15" s="1298"/>
      <c r="L15" s="1299"/>
      <c r="M15" s="1297" t="s">
        <v>1089</v>
      </c>
      <c r="N15" s="1298"/>
      <c r="O15" s="1299"/>
      <c r="P15" s="1297" t="s">
        <v>1090</v>
      </c>
      <c r="Q15" s="1298"/>
      <c r="R15" s="1299"/>
      <c r="S15" s="397"/>
      <c r="T15" s="111"/>
    </row>
    <row r="16" spans="1:20" ht="21" customHeight="1" thickTop="1" thickBot="1">
      <c r="A16" s="118"/>
      <c r="B16" s="396"/>
      <c r="C16" s="1290" t="s">
        <v>120</v>
      </c>
      <c r="D16" s="1291"/>
      <c r="E16" s="1291"/>
      <c r="F16" s="1291"/>
      <c r="G16" s="1291"/>
      <c r="H16" s="1291"/>
      <c r="I16" s="1291"/>
      <c r="J16" s="1291"/>
      <c r="K16" s="1291"/>
      <c r="L16" s="1291"/>
      <c r="M16" s="1291"/>
      <c r="N16" s="1291"/>
      <c r="O16" s="1291"/>
      <c r="P16" s="1291"/>
      <c r="Q16" s="1291"/>
      <c r="R16" s="1292"/>
      <c r="S16" s="397"/>
      <c r="T16" s="111"/>
    </row>
    <row r="17" spans="1:22" ht="13.2" hidden="1" customHeight="1">
      <c r="A17" s="111"/>
      <c r="B17" s="404"/>
      <c r="C17" s="199"/>
      <c r="E17" s="46">
        <v>0</v>
      </c>
      <c r="F17" s="46"/>
      <c r="G17" s="46"/>
      <c r="H17" s="46">
        <v>26</v>
      </c>
      <c r="I17" s="46"/>
      <c r="J17" s="46"/>
      <c r="K17" s="46">
        <v>51</v>
      </c>
      <c r="L17" s="46"/>
      <c r="M17" s="46"/>
      <c r="N17" s="46">
        <v>71</v>
      </c>
      <c r="O17" s="46"/>
      <c r="P17" s="46"/>
      <c r="Q17" s="46">
        <v>91</v>
      </c>
      <c r="R17" s="46"/>
      <c r="S17" s="405"/>
      <c r="T17" s="111"/>
      <c r="U17" s="2"/>
      <c r="V17" s="2"/>
    </row>
    <row r="18" spans="1:22" ht="13.2" hidden="1" customHeight="1">
      <c r="A18" s="111"/>
      <c r="B18" s="404"/>
      <c r="C18" s="199"/>
      <c r="E18" s="46">
        <v>25</v>
      </c>
      <c r="F18" s="46"/>
      <c r="G18" s="46"/>
      <c r="H18" s="46">
        <v>50</v>
      </c>
      <c r="I18" s="46"/>
      <c r="J18" s="46"/>
      <c r="K18" s="46">
        <v>70</v>
      </c>
      <c r="L18" s="46"/>
      <c r="M18" s="46"/>
      <c r="N18" s="46">
        <v>90</v>
      </c>
      <c r="O18" s="46"/>
      <c r="P18" s="46"/>
      <c r="Q18" s="46">
        <v>100</v>
      </c>
      <c r="R18" s="46"/>
      <c r="S18" s="405"/>
      <c r="T18" s="111"/>
      <c r="U18" s="2"/>
      <c r="V18" s="2"/>
    </row>
    <row r="19" spans="1:22" ht="13.2" hidden="1" customHeight="1">
      <c r="A19" s="118"/>
      <c r="B19" s="396"/>
      <c r="C19" s="45"/>
      <c r="D19" s="45"/>
      <c r="E19" s="406" t="e">
        <f>IF(AND(ROUND('M36 Refs'!$AH$118,0)&gt;=E17,ROUND('M36 Refs'!$AH$118,0)&lt;='Loss Control Planning'!E18,'M36 Refs'!AN118=0),1,0)</f>
        <v>#VALUE!</v>
      </c>
      <c r="F19" s="406"/>
      <c r="G19" s="406"/>
      <c r="H19" s="406" t="e">
        <f>IF(AND(ROUND('M36 Refs'!$AH$118,0)&gt;=H17,ROUND('M36 Refs'!$AH$118,0)&lt;='Loss Control Planning'!H18,'M36 Refs'!AN118=0),1,0)</f>
        <v>#VALUE!</v>
      </c>
      <c r="I19" s="406"/>
      <c r="J19" s="406"/>
      <c r="K19" s="406" t="e">
        <f>IF(AND(ROUND('M36 Refs'!$AH$118,0)&gt;=K17,ROUND('M36 Refs'!$AH$118,0)&lt;='Loss Control Planning'!K18,'M36 Refs'!AN118=0),1,0)</f>
        <v>#VALUE!</v>
      </c>
      <c r="L19" s="406"/>
      <c r="M19" s="406"/>
      <c r="N19" s="406" t="e">
        <f>IF(AND(ROUND('M36 Refs'!$AH$118,0)&gt;=N17,ROUND('M36 Refs'!$AH$118,0)&lt;='Loss Control Planning'!N18,'M36 Refs'!AN118=0),1,0)</f>
        <v>#VALUE!</v>
      </c>
      <c r="O19" s="406"/>
      <c r="P19" s="406"/>
      <c r="Q19" s="406" t="e">
        <f>IF(AND(ROUND('M36 Refs'!$AH$118,0)&gt;=Q17,ROUND('M36 Refs'!$AH$118,0)&lt;='Loss Control Planning'!Q18,'M36 Refs'!AN118=0),1,0)</f>
        <v>#VALUE!</v>
      </c>
      <c r="R19" s="406"/>
      <c r="S19" s="397"/>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07"/>
      <c r="C23" s="408"/>
      <c r="D23" s="408"/>
      <c r="E23" s="408"/>
      <c r="F23" s="408"/>
      <c r="G23" s="408"/>
      <c r="H23" s="408"/>
      <c r="I23" s="408"/>
      <c r="J23" s="408"/>
      <c r="K23" s="408"/>
      <c r="L23" s="408"/>
      <c r="M23" s="408"/>
      <c r="N23" s="408"/>
      <c r="O23" s="408"/>
      <c r="P23" s="408"/>
      <c r="Q23" s="408"/>
      <c r="R23" s="408"/>
      <c r="S23" s="409"/>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algorithmName="SHA-512" hashValue="Ji1fjNfCJVCvPo/IxPHQhTLkE1lF3fQBjiIG8k6xvqSZzwyuuHqj9ihLnvKEJhp5AQ3aI1LG/80s0EVWsm5MQw==" saltValue="jUqps1zh6Yz7iK8Z4c+XRA==" spinCount="100000"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workbookViewId="0"/>
  </sheetViews>
  <sheetFormatPr defaultRowHeight="13.2"/>
  <cols>
    <col min="1" max="1" width="28.6640625" style="73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41" t="s">
        <v>1051</v>
      </c>
      <c r="B1" s="742" t="s">
        <v>1052</v>
      </c>
    </row>
    <row r="2" spans="1:2" ht="108.6">
      <c r="A2" s="739" t="s">
        <v>1042</v>
      </c>
      <c r="B2" s="734" t="s">
        <v>1041</v>
      </c>
    </row>
    <row r="3" spans="1:2" ht="28.35" customHeight="1">
      <c r="B3" s="735"/>
    </row>
    <row r="4" spans="1:2" ht="60">
      <c r="A4" s="739" t="s">
        <v>1044</v>
      </c>
      <c r="B4" s="734" t="s">
        <v>1043</v>
      </c>
    </row>
    <row r="5" spans="1:2">
      <c r="B5" s="736"/>
    </row>
    <row r="6" spans="1:2" ht="76.8">
      <c r="A6" s="739" t="s">
        <v>1046</v>
      </c>
      <c r="B6" s="737" t="s">
        <v>1045</v>
      </c>
    </row>
    <row r="7" spans="1:2">
      <c r="B7" s="736"/>
    </row>
    <row r="8" spans="1:2" ht="155.4">
      <c r="A8" s="739" t="s">
        <v>1048</v>
      </c>
      <c r="B8" s="734" t="s">
        <v>1047</v>
      </c>
    </row>
    <row r="9" spans="1:2">
      <c r="B9" s="736"/>
    </row>
    <row r="10" spans="1:2" ht="240">
      <c r="A10" s="740" t="s">
        <v>1049</v>
      </c>
      <c r="B10" s="738" t="s">
        <v>1050</v>
      </c>
    </row>
    <row r="12" spans="1:2" ht="150">
      <c r="A12" s="739" t="s">
        <v>1054</v>
      </c>
      <c r="B12" s="734" t="s">
        <v>1053</v>
      </c>
    </row>
    <row r="13" spans="1:2">
      <c r="B13" s="735"/>
    </row>
    <row r="14" spans="1:2" ht="46.8">
      <c r="A14" s="739" t="s">
        <v>1056</v>
      </c>
      <c r="B14" s="737" t="s">
        <v>1055</v>
      </c>
    </row>
    <row r="15" spans="1:2">
      <c r="B15" s="736"/>
    </row>
    <row r="16" spans="1:2" ht="63.6">
      <c r="A16" s="739" t="s">
        <v>1058</v>
      </c>
      <c r="B16" s="737" t="s">
        <v>1057</v>
      </c>
    </row>
    <row r="17" spans="1:2">
      <c r="B17" s="736"/>
    </row>
    <row r="18" spans="1:2" ht="106.8">
      <c r="A18" s="739" t="s">
        <v>1060</v>
      </c>
      <c r="B18" s="737" t="s">
        <v>1059</v>
      </c>
    </row>
    <row r="19" spans="1:2">
      <c r="B19" s="736"/>
    </row>
    <row r="20" spans="1:2" ht="78.599999999999994">
      <c r="A20" s="739" t="s">
        <v>1062</v>
      </c>
      <c r="B20" s="734" t="s">
        <v>1061</v>
      </c>
    </row>
    <row r="21" spans="1:2">
      <c r="B21" s="736"/>
    </row>
    <row r="22" spans="1:2" ht="93.6">
      <c r="A22" s="739" t="s">
        <v>1064</v>
      </c>
      <c r="B22" s="734" t="s">
        <v>1063</v>
      </c>
    </row>
    <row r="23" spans="1:2">
      <c r="B23" s="736"/>
    </row>
    <row r="24" spans="1:2" ht="93.6">
      <c r="A24" s="739" t="s">
        <v>1066</v>
      </c>
      <c r="B24" s="734" t="s">
        <v>1065</v>
      </c>
    </row>
    <row r="25" spans="1:2">
      <c r="B25" s="736"/>
    </row>
    <row r="26" spans="1:2" ht="60">
      <c r="A26" s="739" t="s">
        <v>1068</v>
      </c>
      <c r="B26" s="734" t="s">
        <v>1067</v>
      </c>
    </row>
    <row r="96" spans="34:34">
      <c r="AH96" s="37" t="s">
        <v>44</v>
      </c>
    </row>
    <row r="97" spans="28:40" ht="26.4">
      <c r="AD97" s="36" t="s">
        <v>41</v>
      </c>
      <c r="AE97" s="36" t="s">
        <v>42</v>
      </c>
      <c r="AF97" s="36" t="s">
        <v>45</v>
      </c>
      <c r="AG97" s="36" t="s">
        <v>46</v>
      </c>
      <c r="AH97" s="36" t="s">
        <v>43</v>
      </c>
      <c r="AI97" s="36" t="s">
        <v>47</v>
      </c>
      <c r="AJ97" s="36" t="s">
        <v>57</v>
      </c>
      <c r="AK97" s="36"/>
      <c r="AL97" s="213" t="s">
        <v>55</v>
      </c>
      <c r="AM97" s="213" t="s">
        <v>54</v>
      </c>
      <c r="AN97" s="213" t="s">
        <v>56</v>
      </c>
    </row>
    <row r="98" spans="28:40">
      <c r="AC98" s="216" t="s">
        <v>681</v>
      </c>
      <c r="AD98" s="41" t="str">
        <f>IF(Worksheet!F15="n/a",0,Worksheet!F15)</f>
        <v/>
      </c>
      <c r="AE98" s="64" t="e">
        <f>Worksheet!Y15</f>
        <v>#DIV/0!</v>
      </c>
      <c r="AF98" s="40" t="e">
        <f t="shared" ref="AF98:AF103" si="0">AE98</f>
        <v>#DIV/0!</v>
      </c>
      <c r="AG98" s="40" t="e">
        <f>IF(AE98&lt;&gt;0,AF98/10,0)</f>
        <v>#DIV/0!</v>
      </c>
      <c r="AH98" s="40">
        <f>IFERROR(AD98*AG98,0)</f>
        <v>0</v>
      </c>
      <c r="AI98" s="40" t="e">
        <f t="shared" ref="AI98:AI117" si="1">IF(AG98=0,0,AF98-AH98)</f>
        <v>#DIV/0!</v>
      </c>
      <c r="AJ98" t="e">
        <f t="array" aca="1" ref="AJ98" ca="1">SUM(1*(AI98&lt;$AI$98:$AI$117))+1+IF(ROW(AI98)-ROW($AI$98)=0,0,SUM(1*(AI98=OFFSET($AI$98,0,0,INDEX(ROW(AI98)-ROW($AI$98)+1,1)-1,1))))</f>
        <v>#DIV/0!</v>
      </c>
      <c r="AK98" s="46" t="str">
        <f>AC98</f>
        <v>Volume from Own Sources (VOS)</v>
      </c>
      <c r="AL98">
        <f>IFERROR(IF(AE98&lt;&gt;0,1,0),0)</f>
        <v>0</v>
      </c>
      <c r="AM98">
        <f>IF(AD98="",0,IF(AD98&lt;&gt;0,1,0))</f>
        <v>0</v>
      </c>
      <c r="AN98">
        <f t="shared" ref="AN98:AN117" si="2">IF(AND(AL98=1,AM98=0),1,0)</f>
        <v>0</v>
      </c>
    </row>
    <row r="99" spans="28:40">
      <c r="AC99" s="220" t="s">
        <v>682</v>
      </c>
      <c r="AD99" s="41" t="str">
        <f>IF(Worksheet!M15="n/a",0,Worksheet!M15)</f>
        <v/>
      </c>
      <c r="AE99" s="64" t="e">
        <f>Worksheet!Z15</f>
        <v>#DIV/0!</v>
      </c>
      <c r="AF99" s="40" t="e">
        <f t="shared" si="0"/>
        <v>#DIV/0!</v>
      </c>
      <c r="AG99" s="40" t="e">
        <f t="shared" ref="AG99:AG117" si="3">IF(AE99&lt;&gt;0,AF99/10,0)</f>
        <v>#DIV/0!</v>
      </c>
      <c r="AH99" s="40">
        <f t="shared" ref="AH99:AH106" si="4">IFERROR(AD99*AG99,0)</f>
        <v>0</v>
      </c>
      <c r="AI99" s="40" t="e">
        <f t="shared" si="1"/>
        <v>#DIV/0!</v>
      </c>
      <c r="AJ99" t="e">
        <f t="array" aca="1" ref="AJ99" ca="1">SUM(1*(AI99&lt;$AI$98:$AI$117))+1+IF(ROW(AI99)-ROW($AI$98)=0,0,SUM(1*(AI99=OFFSET($AI$98,0,0,INDEX(ROW(AI99)-ROW($AI$98)+1,1)-1,1))))</f>
        <v>#DIV/0!</v>
      </c>
      <c r="AK99" s="46" t="str">
        <f t="shared" ref="AK99:AK117" si="5">AC99</f>
        <v>VOS Error Adjustment (VOSEA)</v>
      </c>
      <c r="AL99">
        <f t="shared" ref="AL99:AL103" si="6">IFERROR(IF(AE99&lt;&gt;0,1,0),0)</f>
        <v>0</v>
      </c>
      <c r="AM99">
        <f t="shared" ref="AM99:AM117" si="7">IF(AD99="",0,IF(AD99&lt;&gt;0,1,0))</f>
        <v>0</v>
      </c>
      <c r="AN99">
        <f t="shared" si="2"/>
        <v>0</v>
      </c>
    </row>
    <row r="100" spans="28:40">
      <c r="AC100" s="216" t="s">
        <v>683</v>
      </c>
      <c r="AD100" s="41" t="str">
        <f>IF(Worksheet!F16="n/a",0,Worksheet!F16)</f>
        <v/>
      </c>
      <c r="AE100" s="64" t="e">
        <f>Worksheet!Y16</f>
        <v>#DIV/0!</v>
      </c>
      <c r="AF100" s="40" t="e">
        <f t="shared" si="0"/>
        <v>#DIV/0!</v>
      </c>
      <c r="AG100" s="40" t="e">
        <f t="shared" si="3"/>
        <v>#DIV/0!</v>
      </c>
      <c r="AH100" s="40">
        <f t="shared" si="4"/>
        <v>0</v>
      </c>
      <c r="AI100" s="40" t="e">
        <f t="shared" si="1"/>
        <v>#DIV/0!</v>
      </c>
      <c r="AJ100" t="e">
        <f t="array" aca="1" ref="AJ100" ca="1">SUM(1*(AI100&lt;$AI$98:$AI$117))+1+IF(ROW(AI100)-ROW($AI$98)=0,0,SUM(1*(AI100=OFFSET($AI$98,0,0,INDEX(ROW(AI100)-ROW($AI$98)+1,1)-1,1))))</f>
        <v>#DIV/0!</v>
      </c>
      <c r="AK100" s="46" t="str">
        <f t="shared" si="5"/>
        <v>Water Imported (WI)</v>
      </c>
      <c r="AL100">
        <f t="shared" si="6"/>
        <v>0</v>
      </c>
      <c r="AM100">
        <f t="shared" si="7"/>
        <v>0</v>
      </c>
      <c r="AN100">
        <f t="shared" si="2"/>
        <v>0</v>
      </c>
    </row>
    <row r="101" spans="28:40">
      <c r="AC101" s="220" t="s">
        <v>696</v>
      </c>
      <c r="AD101" s="41" t="str">
        <f>IF(Worksheet!M16="n/a",0,Worksheet!M16)</f>
        <v/>
      </c>
      <c r="AE101" s="64" t="e">
        <f>Worksheet!Z16</f>
        <v>#DIV/0!</v>
      </c>
      <c r="AF101" s="40" t="e">
        <f t="shared" si="0"/>
        <v>#DIV/0!</v>
      </c>
      <c r="AG101" s="40" t="e">
        <f t="shared" si="3"/>
        <v>#DIV/0!</v>
      </c>
      <c r="AH101" s="40">
        <f t="shared" si="4"/>
        <v>0</v>
      </c>
      <c r="AI101" s="40" t="e">
        <f t="shared" si="1"/>
        <v>#DIV/0!</v>
      </c>
      <c r="AJ101" t="e">
        <f t="array" aca="1" ref="AJ101" ca="1">SUM(1*(AI101&lt;$AI$98:$AI$117))+1+IF(ROW(AI101)-ROW($AI$98)=0,0,SUM(1*(AI101=OFFSET($AI$98,0,0,INDEX(ROW(AI101)-ROW($AI$98)+1,1)-1,1))))</f>
        <v>#DIV/0!</v>
      </c>
      <c r="AK101" s="46" t="str">
        <f t="shared" si="5"/>
        <v>WI Error Adjustment (WIEA)</v>
      </c>
      <c r="AL101">
        <f t="shared" si="6"/>
        <v>0</v>
      </c>
      <c r="AM101">
        <f t="shared" si="7"/>
        <v>0</v>
      </c>
      <c r="AN101">
        <f t="shared" si="2"/>
        <v>0</v>
      </c>
    </row>
    <row r="102" spans="28:40">
      <c r="AC102" s="216" t="s">
        <v>697</v>
      </c>
      <c r="AD102" s="41" t="str">
        <f>IF(Worksheet!F17="n/a",0,Worksheet!F17)</f>
        <v/>
      </c>
      <c r="AE102" s="64" t="e">
        <f>Worksheet!Y17</f>
        <v>#DIV/0!</v>
      </c>
      <c r="AF102" s="40" t="e">
        <f t="shared" si="0"/>
        <v>#DIV/0!</v>
      </c>
      <c r="AG102" s="40" t="e">
        <f t="shared" si="3"/>
        <v>#DIV/0!</v>
      </c>
      <c r="AH102" s="40">
        <f t="shared" si="4"/>
        <v>0</v>
      </c>
      <c r="AI102" s="40" t="e">
        <f t="shared" si="1"/>
        <v>#DIV/0!</v>
      </c>
      <c r="AJ102" t="e">
        <f t="array" aca="1" ref="AJ102" ca="1">SUM(1*(AI102&lt;$AI$98:$AI$117))+1+IF(ROW(AI102)-ROW($AI$98)=0,0,SUM(1*(AI102=OFFSET($AI$98,0,0,INDEX(ROW(AI102)-ROW($AI$98)+1,1)-1,1))))</f>
        <v>#DIV/0!</v>
      </c>
      <c r="AK102" s="46" t="str">
        <f t="shared" si="5"/>
        <v>Water Exported (WE)</v>
      </c>
      <c r="AL102">
        <f t="shared" si="6"/>
        <v>0</v>
      </c>
      <c r="AM102">
        <f t="shared" si="7"/>
        <v>0</v>
      </c>
      <c r="AN102">
        <f t="shared" si="2"/>
        <v>0</v>
      </c>
    </row>
    <row r="103" spans="28:40">
      <c r="AC103" s="220" t="s">
        <v>698</v>
      </c>
      <c r="AD103" s="65" t="str">
        <f>IF(Worksheet!M17="n/a",0,Worksheet!M17)</f>
        <v/>
      </c>
      <c r="AE103" s="66" t="e">
        <f>Worksheet!Z17</f>
        <v>#DIV/0!</v>
      </c>
      <c r="AF103" s="67" t="e">
        <f t="shared" si="0"/>
        <v>#DIV/0!</v>
      </c>
      <c r="AG103" s="67" t="e">
        <f t="shared" si="3"/>
        <v>#DIV/0!</v>
      </c>
      <c r="AH103" s="40">
        <f t="shared" si="4"/>
        <v>0</v>
      </c>
      <c r="AI103" s="67" t="e">
        <f t="shared" si="1"/>
        <v>#DIV/0!</v>
      </c>
      <c r="AJ103" s="68" t="e">
        <f t="array" aca="1" ref="AJ103" ca="1">SUM(1*(AI103&lt;$AI$98:$AI$117))+1+IF(ROW(AI103)-ROW($AI$98)=0,0,SUM(1*(AI103=OFFSET($AI$98,0,0,INDEX(ROW(AI103)-ROW($AI$98)+1,1)-1,1))))</f>
        <v>#DIV/0!</v>
      </c>
      <c r="AK103" s="85" t="str">
        <f t="shared" si="5"/>
        <v>WE Error Adjustment (WEEA)</v>
      </c>
      <c r="AL103">
        <f t="shared" si="6"/>
        <v>0</v>
      </c>
      <c r="AM103" s="68">
        <f t="shared" si="7"/>
        <v>0</v>
      </c>
      <c r="AN103" s="68">
        <f t="shared" si="2"/>
        <v>0</v>
      </c>
    </row>
    <row r="104" spans="28:40">
      <c r="AC104" s="217" t="s">
        <v>684</v>
      </c>
      <c r="AD104" s="73" t="str">
        <f>IF(Worksheet!F23="n/a",0,Worksheet!F23)</f>
        <v/>
      </c>
      <c r="AE104" s="221">
        <f>IF(Worksheet!H23&gt;0,Worksheet!Y23,0)</f>
        <v>0</v>
      </c>
      <c r="AF104" s="75">
        <f t="shared" ref="AF104:AF117" si="8">AE104/$AE$120</f>
        <v>0</v>
      </c>
      <c r="AG104" s="75">
        <f t="shared" si="3"/>
        <v>0</v>
      </c>
      <c r="AH104" s="75" t="e">
        <f t="shared" ref="AH104:AH117" si="9">AD104*AG104</f>
        <v>#VALUE!</v>
      </c>
      <c r="AI104" s="75">
        <f t="shared" si="1"/>
        <v>0</v>
      </c>
      <c r="AJ104" s="76" t="e">
        <f t="array" aca="1" ref="AJ104" ca="1">SUM(1*(AI104&lt;$AI$98:$AI$117))+1+IF(ROW(AI104)-ROW($AI$98)=0,0,SUM(1*(AI104=OFFSET($AI$98,0,0,INDEX(ROW(AI104)-ROW($AI$98)+1,1)-1,1))))</f>
        <v>#DIV/0!</v>
      </c>
      <c r="AK104" s="86" t="str">
        <f t="shared" si="5"/>
        <v>Billed Metered (BMAC)</v>
      </c>
      <c r="AL104" s="76">
        <f t="shared" ref="AL104:AL117" si="10">IF(AE104&lt;&gt;0,1,0)</f>
        <v>0</v>
      </c>
      <c r="AM104" s="76">
        <f t="shared" si="7"/>
        <v>0</v>
      </c>
      <c r="AN104" s="76">
        <f t="shared" si="2"/>
        <v>0</v>
      </c>
    </row>
    <row r="105" spans="28:40">
      <c r="AC105" s="218" t="s">
        <v>685</v>
      </c>
      <c r="AD105" s="78" t="str">
        <f>IF(Worksheet!F24="n/a",0,Worksheet!F24)</f>
        <v/>
      </c>
      <c r="AE105" s="222">
        <f>IF(Worksheet!H24=0,0,12)</f>
        <v>0</v>
      </c>
      <c r="AF105" s="79">
        <f t="shared" si="8"/>
        <v>0</v>
      </c>
      <c r="AG105" s="79">
        <f t="shared" si="3"/>
        <v>0</v>
      </c>
      <c r="AH105" s="40">
        <f t="shared" si="4"/>
        <v>0</v>
      </c>
      <c r="AI105" s="79">
        <f t="shared" si="1"/>
        <v>0</v>
      </c>
      <c r="AJ105" s="80" t="e">
        <f t="array" aca="1" ref="AJ105" ca="1">SUM(1*(AI105&lt;$AI$98:$AI$117))+1+IF(ROW(AI105)-ROW($AI$98)=0,0,SUM(1*(AI105=OFFSET($AI$98,0,0,INDEX(ROW(AI105)-ROW($AI$98)+1,1)-1,1))))</f>
        <v>#DIV/0!</v>
      </c>
      <c r="AK105" s="87" t="str">
        <f t="shared" si="5"/>
        <v>Billed Unmetered (BUAC)</v>
      </c>
      <c r="AL105" s="80">
        <f t="shared" si="10"/>
        <v>0</v>
      </c>
      <c r="AM105" s="80">
        <f t="shared" si="7"/>
        <v>0</v>
      </c>
      <c r="AN105" s="80">
        <f t="shared" si="2"/>
        <v>0</v>
      </c>
    </row>
    <row r="106" spans="28:40">
      <c r="AC106" s="218" t="s">
        <v>686</v>
      </c>
      <c r="AD106" s="78" t="str">
        <f>IF(Worksheet!F25="n/a",0,Worksheet!F25)</f>
        <v/>
      </c>
      <c r="AE106" s="222">
        <f>IF(Worksheet!H25&gt;0,Worksheet!Y24,0)</f>
        <v>0</v>
      </c>
      <c r="AF106" s="79">
        <f t="shared" si="8"/>
        <v>0</v>
      </c>
      <c r="AG106" s="79">
        <f t="shared" si="3"/>
        <v>0</v>
      </c>
      <c r="AH106" s="40">
        <f t="shared" si="4"/>
        <v>0</v>
      </c>
      <c r="AI106" s="79">
        <f t="shared" si="1"/>
        <v>0</v>
      </c>
      <c r="AJ106" s="80" t="e">
        <f t="array" aca="1" ref="AJ106" ca="1">SUM(1*(AI106&lt;$AI$98:$AI$117))+1+IF(ROW(AI106)-ROW($AI$98)=0,0,SUM(1*(AI106=OFFSET($AI$98,0,0,INDEX(ROW(AI106)-ROW($AI$98)+1,1)-1,1))))</f>
        <v>#DIV/0!</v>
      </c>
      <c r="AK106" s="87" t="str">
        <f t="shared" si="5"/>
        <v>Unbilled Metered (UMAC)</v>
      </c>
      <c r="AL106" s="80">
        <f t="shared" si="10"/>
        <v>0</v>
      </c>
      <c r="AM106" s="80">
        <f t="shared" si="7"/>
        <v>0</v>
      </c>
      <c r="AN106" s="80">
        <f t="shared" si="2"/>
        <v>0</v>
      </c>
    </row>
    <row r="107" spans="28:40">
      <c r="AB107" t="s">
        <v>59</v>
      </c>
      <c r="AC107" s="219" t="s">
        <v>687</v>
      </c>
      <c r="AD107" s="77">
        <f>IF(OR(Worksheet!W26=1,AND(Worksheet!W26=2,Worksheet!Q26=0)),3,Worksheet!F26)</f>
        <v>3</v>
      </c>
      <c r="AE107" s="70">
        <v>2</v>
      </c>
      <c r="AF107" s="71">
        <f t="shared" si="8"/>
        <v>3.3333333333333335</v>
      </c>
      <c r="AG107" s="71">
        <f t="shared" si="3"/>
        <v>0.33333333333333337</v>
      </c>
      <c r="AH107" s="71">
        <f t="shared" si="9"/>
        <v>1</v>
      </c>
      <c r="AI107" s="71">
        <f t="shared" si="1"/>
        <v>2.3333333333333335</v>
      </c>
      <c r="AJ107" s="72" t="e">
        <f t="array" aca="1" ref="AJ107" ca="1">SUM(1*(AI107&lt;$AI$98:$AI$117))+1+IF(ROW(AI107)-ROW($AI$98)=0,0,SUM(1*(AI107=OFFSET($AI$98,0,0,INDEX(ROW(AI107)-ROW($AI$98)+1,1)-1,1))))</f>
        <v>#DIV/0!</v>
      </c>
      <c r="AK107" s="88" t="str">
        <f t="shared" si="5"/>
        <v>Unbilled Unmetered (UUAC)</v>
      </c>
      <c r="AL107" s="72">
        <f t="shared" si="10"/>
        <v>1</v>
      </c>
      <c r="AM107" s="72">
        <f t="shared" si="7"/>
        <v>1</v>
      </c>
      <c r="AN107" s="72">
        <f t="shared" si="2"/>
        <v>0</v>
      </c>
    </row>
    <row r="108" spans="28:40">
      <c r="AB108" t="s">
        <v>59</v>
      </c>
      <c r="AC108" s="219" t="s">
        <v>671</v>
      </c>
      <c r="AD108" s="77">
        <f>IF(OR(Worksheet!W43=1,AND(Worksheet!W43=2,Worksheet!Q43=0)),3,Worksheet!F43)</f>
        <v>3</v>
      </c>
      <c r="AE108" s="70">
        <v>3.5</v>
      </c>
      <c r="AF108" s="71">
        <f t="shared" si="8"/>
        <v>5.8333333333333339</v>
      </c>
      <c r="AG108" s="71">
        <f t="shared" si="3"/>
        <v>0.58333333333333337</v>
      </c>
      <c r="AH108" s="71">
        <f t="shared" si="9"/>
        <v>1.75</v>
      </c>
      <c r="AI108" s="71">
        <f t="shared" si="1"/>
        <v>4.0833333333333339</v>
      </c>
      <c r="AJ108" s="72" t="e">
        <f t="array" aca="1" ref="AJ108" ca="1">SUM(1*(AI108&lt;$AI$98:$AI$117))+1+IF(ROW(AI108)-ROW($AI$98)=0,0,SUM(1*(AI108=OFFSET($AI$98,0,0,INDEX(ROW(AI108)-ROW($AI$98)+1,1)-1,1))))</f>
        <v>#DIV/0!</v>
      </c>
      <c r="AK108" s="88" t="str">
        <f t="shared" si="5"/>
        <v>Unauthorized Consumption (UC)</v>
      </c>
      <c r="AL108" s="72">
        <f t="shared" si="10"/>
        <v>1</v>
      </c>
      <c r="AM108" s="72">
        <f t="shared" si="7"/>
        <v>1</v>
      </c>
      <c r="AN108" s="72">
        <f t="shared" si="2"/>
        <v>0</v>
      </c>
    </row>
    <row r="109" spans="28:40">
      <c r="AC109" s="217" t="s">
        <v>688</v>
      </c>
      <c r="AD109" s="73" t="str">
        <f>IF(Worksheet!F41="n/a",0,Worksheet!F41)</f>
        <v/>
      </c>
      <c r="AE109" s="74">
        <f>IF(AND(Worksheet!F41="n/a",Worksheet!H41=0),0,6)</f>
        <v>6</v>
      </c>
      <c r="AF109" s="75">
        <f t="shared" si="8"/>
        <v>10</v>
      </c>
      <c r="AG109" s="75">
        <f t="shared" si="3"/>
        <v>1</v>
      </c>
      <c r="AH109" s="75" t="e">
        <f t="shared" si="9"/>
        <v>#VALUE!</v>
      </c>
      <c r="AI109" s="75" t="e">
        <f t="shared" si="1"/>
        <v>#VALUE!</v>
      </c>
      <c r="AJ109" s="76" t="e">
        <f t="array" aca="1" ref="AJ109" ca="1">SUM(1*(AI109&lt;$AI$98:$AI$117))+1+IF(ROW(AI109)-ROW($AI$98)=0,0,SUM(1*(AI109=OFFSET($AI$98,0,0,INDEX(ROW(AI109)-ROW($AI$98)+1,1)-1,1))))</f>
        <v>#VALUE!</v>
      </c>
      <c r="AK109" s="86" t="str">
        <f t="shared" si="5"/>
        <v>Customer Metering Inaccuracies (CMI)</v>
      </c>
      <c r="AL109" s="76">
        <f t="shared" si="10"/>
        <v>1</v>
      </c>
      <c r="AM109" s="76">
        <f t="shared" si="7"/>
        <v>0</v>
      </c>
      <c r="AN109" s="76">
        <f t="shared" si="2"/>
        <v>1</v>
      </c>
    </row>
    <row r="110" spans="28:40">
      <c r="AC110" s="219" t="s">
        <v>689</v>
      </c>
      <c r="AD110" s="69">
        <f>IF(Worksheet!H39=0,1,IF(Worksheet!W39=1,3,Worksheet!F39))</f>
        <v>1</v>
      </c>
      <c r="AE110" s="70">
        <v>3.5</v>
      </c>
      <c r="AF110" s="71">
        <f t="shared" si="8"/>
        <v>5.8333333333333339</v>
      </c>
      <c r="AG110" s="71">
        <f t="shared" si="3"/>
        <v>0.58333333333333337</v>
      </c>
      <c r="AH110" s="71">
        <f t="shared" si="9"/>
        <v>0.58333333333333337</v>
      </c>
      <c r="AI110" s="71">
        <f t="shared" si="1"/>
        <v>5.2500000000000009</v>
      </c>
      <c r="AJ110" s="72" t="e">
        <f t="array" aca="1" ref="AJ110" ca="1">SUM(1*(AI110&lt;$AI$98:$AI$117))+1+IF(ROW(AI110)-ROW($AI$98)=0,0,SUM(1*(AI110=OFFSET($AI$98,0,0,INDEX(ROW(AI110)-ROW($AI$98)+1,1)-1,1))))</f>
        <v>#DIV/0!</v>
      </c>
      <c r="AK110" s="88" t="str">
        <f t="shared" si="5"/>
        <v>Systematic Data Handling Errors (SDHE)</v>
      </c>
      <c r="AL110" s="72">
        <f t="shared" si="10"/>
        <v>1</v>
      </c>
      <c r="AM110" s="72">
        <f t="shared" si="7"/>
        <v>1</v>
      </c>
      <c r="AN110" s="72">
        <f t="shared" si="2"/>
        <v>0</v>
      </c>
    </row>
    <row r="111" spans="28:40">
      <c r="AC111" s="219" t="s">
        <v>690</v>
      </c>
      <c r="AD111" s="69" t="str">
        <f>Worksheet!F61</f>
        <v/>
      </c>
      <c r="AE111" s="70">
        <v>5</v>
      </c>
      <c r="AF111" s="71">
        <f t="shared" si="8"/>
        <v>8.3333333333333339</v>
      </c>
      <c r="AG111" s="71">
        <f t="shared" si="3"/>
        <v>0.83333333333333337</v>
      </c>
      <c r="AH111" s="71" t="e">
        <f t="shared" si="9"/>
        <v>#VALUE!</v>
      </c>
      <c r="AI111" s="71" t="e">
        <f t="shared" si="1"/>
        <v>#VALUE!</v>
      </c>
      <c r="AJ111" s="72" t="e">
        <f t="array" aca="1" ref="AJ111" ca="1">SUM(1*(AI111&lt;$AI$98:$AI$117))+1+IF(ROW(AI111)-ROW($AI$98)=0,0,SUM(1*(AI111=OFFSET($AI$98,0,0,INDEX(ROW(AI111)-ROW($AI$98)+1,1)-1,1))))</f>
        <v>#VALUE!</v>
      </c>
      <c r="AK111" s="88" t="str">
        <f t="shared" si="5"/>
        <v>Length of Mains (Lm)</v>
      </c>
      <c r="AL111" s="72">
        <f t="shared" si="10"/>
        <v>1</v>
      </c>
      <c r="AM111" s="72">
        <f t="shared" si="7"/>
        <v>0</v>
      </c>
      <c r="AN111" s="72">
        <f t="shared" si="2"/>
        <v>1</v>
      </c>
    </row>
    <row r="112" spans="28:40">
      <c r="AC112" s="219" t="s">
        <v>691</v>
      </c>
      <c r="AD112" s="69" t="str">
        <f>Worksheet!F62</f>
        <v/>
      </c>
      <c r="AE112" s="70">
        <v>5</v>
      </c>
      <c r="AF112" s="71">
        <f t="shared" si="8"/>
        <v>8.3333333333333339</v>
      </c>
      <c r="AG112" s="71">
        <f t="shared" si="3"/>
        <v>0.83333333333333337</v>
      </c>
      <c r="AH112" s="71" t="e">
        <f t="shared" si="9"/>
        <v>#VALUE!</v>
      </c>
      <c r="AI112" s="71" t="e">
        <f t="shared" si="1"/>
        <v>#VALUE!</v>
      </c>
      <c r="AJ112" s="72" t="e">
        <f t="array" aca="1" ref="AJ112" ca="1">SUM(1*(AI112&lt;$AI$98:$AI$117))+1+IF(ROW(AI112)-ROW($AI$98)=0,0,SUM(1*(AI112=OFFSET($AI$98,0,0,INDEX(ROW(AI112)-ROW($AI$98)+1,1)-1,1))))</f>
        <v>#VALUE!</v>
      </c>
      <c r="AK112" s="88" t="str">
        <f t="shared" si="5"/>
        <v>Number of Service Connections (Nc)</v>
      </c>
      <c r="AL112" s="72">
        <f t="shared" si="10"/>
        <v>1</v>
      </c>
      <c r="AM112" s="72">
        <f t="shared" si="7"/>
        <v>0</v>
      </c>
      <c r="AN112" s="72">
        <f t="shared" si="2"/>
        <v>1</v>
      </c>
    </row>
    <row r="113" spans="29:40">
      <c r="AC113" s="219" t="s">
        <v>692</v>
      </c>
      <c r="AD113" s="69" t="str">
        <f>Worksheet!W66</f>
        <v/>
      </c>
      <c r="AE113" s="70">
        <v>2</v>
      </c>
      <c r="AF113" s="71">
        <f t="shared" si="8"/>
        <v>3.3333333333333335</v>
      </c>
      <c r="AG113" s="71">
        <f t="shared" si="3"/>
        <v>0.33333333333333337</v>
      </c>
      <c r="AH113" s="71" t="e">
        <f t="shared" si="9"/>
        <v>#VALUE!</v>
      </c>
      <c r="AI113" s="71" t="e">
        <f t="shared" si="1"/>
        <v>#VALUE!</v>
      </c>
      <c r="AJ113" s="72" t="e">
        <f t="array" aca="1" ref="AJ113" ca="1">SUM(1*(AI113&lt;$AI$98:$AI$117))+1+IF(ROW(AI113)-ROW($AI$98)=0,0,SUM(1*(AI113=OFFSET($AI$98,0,0,INDEX(ROW(AI113)-ROW($AI$98)+1,1)-1,1))))</f>
        <v>#VALUE!</v>
      </c>
      <c r="AK113" s="88" t="str">
        <f t="shared" si="5"/>
        <v>Average Length of Customer Service Line (Lp)</v>
      </c>
      <c r="AL113" s="72">
        <f t="shared" si="10"/>
        <v>1</v>
      </c>
      <c r="AM113" s="72">
        <f t="shared" si="7"/>
        <v>0</v>
      </c>
      <c r="AN113" s="72">
        <f t="shared" si="2"/>
        <v>1</v>
      </c>
    </row>
    <row r="114" spans="29:40">
      <c r="AC114" s="219" t="s">
        <v>693</v>
      </c>
      <c r="AD114" s="69" t="str">
        <f>Worksheet!F68</f>
        <v/>
      </c>
      <c r="AE114" s="70">
        <v>2</v>
      </c>
      <c r="AF114" s="71">
        <f t="shared" si="8"/>
        <v>3.3333333333333335</v>
      </c>
      <c r="AG114" s="71">
        <f t="shared" si="3"/>
        <v>0.33333333333333337</v>
      </c>
      <c r="AH114" s="71" t="e">
        <f t="shared" si="9"/>
        <v>#VALUE!</v>
      </c>
      <c r="AI114" s="71" t="e">
        <f t="shared" si="1"/>
        <v>#VALUE!</v>
      </c>
      <c r="AJ114" s="72" t="e">
        <f t="array" aca="1" ref="AJ114" ca="1">SUM(1*(AI114&lt;$AI$98:$AI$117))+1+IF(ROW(AI114)-ROW($AI$98)=0,0,SUM(1*(AI114=OFFSET($AI$98,0,0,INDEX(ROW(AI114)-ROW($AI$98)+1,1)-1,1))))</f>
        <v>#VALUE!</v>
      </c>
      <c r="AK114" s="88" t="str">
        <f t="shared" si="5"/>
        <v>Average Operating Pressure (AOP)</v>
      </c>
      <c r="AL114" s="72">
        <f t="shared" si="10"/>
        <v>1</v>
      </c>
      <c r="AM114" s="72">
        <f t="shared" si="7"/>
        <v>0</v>
      </c>
      <c r="AN114" s="72">
        <f t="shared" si="2"/>
        <v>1</v>
      </c>
    </row>
    <row r="115" spans="29:40">
      <c r="AC115" s="219"/>
      <c r="AD115" s="69"/>
      <c r="AE115" s="70"/>
      <c r="AF115" s="71"/>
      <c r="AG115" s="71"/>
      <c r="AH115" s="71"/>
      <c r="AI115" s="71"/>
      <c r="AJ115" s="72"/>
      <c r="AK115" s="88"/>
      <c r="AL115" s="72"/>
      <c r="AM115" s="72"/>
      <c r="AN115" s="72"/>
    </row>
    <row r="116" spans="29:40">
      <c r="AC116" s="219" t="s">
        <v>694</v>
      </c>
      <c r="AD116" s="69" t="str">
        <f>IF(Worksheet!F76="n/a",0,Worksheet!F76)</f>
        <v/>
      </c>
      <c r="AE116" s="70">
        <f>IF(Worksheet!F76="n/a",0,5)</f>
        <v>5</v>
      </c>
      <c r="AF116" s="71">
        <f t="shared" si="8"/>
        <v>8.3333333333333339</v>
      </c>
      <c r="AG116" s="71">
        <f t="shared" si="3"/>
        <v>0.83333333333333337</v>
      </c>
      <c r="AH116" s="71" t="e">
        <f t="shared" si="9"/>
        <v>#VALUE!</v>
      </c>
      <c r="AI116" s="71" t="e">
        <f t="shared" si="1"/>
        <v>#VALUE!</v>
      </c>
      <c r="AJ116" s="72" t="e">
        <f t="array" aca="1" ref="AJ116" ca="1">SUM(1*(AI116&lt;$AI$98:$AI$117))+1+IF(ROW(AI116)-ROW($AI$98)=0,0,SUM(1*(AI116=OFFSET($AI$98,0,0,INDEX(ROW(AI116)-ROW($AI$98)+1,1)-1,1))))</f>
        <v>#VALUE!</v>
      </c>
      <c r="AK116" s="88" t="str">
        <f t="shared" si="5"/>
        <v>Customer Retail Unit Charge (CRUC)</v>
      </c>
      <c r="AL116" s="72">
        <f t="shared" si="10"/>
        <v>1</v>
      </c>
      <c r="AM116" s="72">
        <f t="shared" si="7"/>
        <v>0</v>
      </c>
      <c r="AN116" s="72">
        <f t="shared" si="2"/>
        <v>1</v>
      </c>
    </row>
    <row r="117" spans="29:40">
      <c r="AC117" s="219" t="s">
        <v>695</v>
      </c>
      <c r="AD117" s="69" t="str">
        <f>IF(Worksheet!F77="n/a",0,Worksheet!F77)</f>
        <v/>
      </c>
      <c r="AE117" s="70">
        <v>5</v>
      </c>
      <c r="AF117" s="71">
        <f t="shared" si="8"/>
        <v>8.3333333333333339</v>
      </c>
      <c r="AG117" s="71">
        <f t="shared" si="3"/>
        <v>0.83333333333333337</v>
      </c>
      <c r="AH117" s="71" t="e">
        <f t="shared" si="9"/>
        <v>#VALUE!</v>
      </c>
      <c r="AI117" s="71" t="e">
        <f t="shared" si="1"/>
        <v>#VALUE!</v>
      </c>
      <c r="AJ117" s="72" t="e">
        <f t="array" aca="1" ref="AJ117" ca="1">SUM(1*(AI117&lt;$AI$98:$AI$117))+1+IF(ROW(AI117)-ROW($AI$98)=0,0,SUM(1*(AI117=OFFSET($AI$98,0,0,INDEX(ROW(AI117)-ROW($AI$98)+1,1)-1,1))))</f>
        <v>#VALUE!</v>
      </c>
      <c r="AK117" s="88" t="str">
        <f t="shared" si="5"/>
        <v>Variable Production Cost (VPC)</v>
      </c>
      <c r="AL117" s="72">
        <f t="shared" si="10"/>
        <v>1</v>
      </c>
      <c r="AM117" s="72">
        <f t="shared" si="7"/>
        <v>0</v>
      </c>
      <c r="AN117" s="72">
        <f t="shared" si="2"/>
        <v>1</v>
      </c>
    </row>
    <row r="118" spans="29:40">
      <c r="AE118" s="81" t="e">
        <f>SUM(AE98:AE117)</f>
        <v>#DIV/0!</v>
      </c>
      <c r="AF118" s="39" t="e">
        <f>SUM(AF98:AF117)</f>
        <v>#DIV/0!</v>
      </c>
      <c r="AG118" s="39" t="e">
        <f>SUM(AG98:AG117)</f>
        <v>#DIV/0!</v>
      </c>
      <c r="AH118" s="93" t="e">
        <f>SUM(AH98:AH117)</f>
        <v>#VALUE!</v>
      </c>
      <c r="AN118" s="43">
        <f>SUM(AN98:AN117)</f>
        <v>7</v>
      </c>
    </row>
    <row r="119" spans="29:40">
      <c r="AE119" s="39">
        <f>SUM(AE104:AE117)</f>
        <v>39</v>
      </c>
      <c r="AK119" s="89"/>
      <c r="AN119" s="42"/>
    </row>
    <row r="120" spans="29:40">
      <c r="AE120" s="38">
        <f>AE119/(100-AE121)</f>
        <v>0.6</v>
      </c>
    </row>
    <row r="121" spans="29:40">
      <c r="AD121" s="82" t="s">
        <v>131</v>
      </c>
      <c r="AE121" s="83">
        <v>35</v>
      </c>
      <c r="AM121">
        <f>IF(SUM(Worksheet!W26,Worksheet!W43)=2,2,IF(SUM(Worksheet!W26,Worksheet!W43)=3,1,0))</f>
        <v>2</v>
      </c>
      <c r="AN121" t="s">
        <v>58</v>
      </c>
    </row>
    <row r="122" spans="29:40">
      <c r="AN122" s="158" t="s">
        <v>668</v>
      </c>
    </row>
  </sheetData>
  <sheetProtection algorithmName="SHA-512" hashValue="M749jRRT43MQKK0ZzH+gMPq6fjD5RD3CzrtxjC773b0JrGO2uG8dY8DtAazc46JJRCeb3Is7WWkSp+bWceYABA==" saltValue="Z4KkVhulNZ/M42n0RUXv8A==" spinCount="100000"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93"/>
  <sheetViews>
    <sheetView showGridLines="0" showRowColHeaders="0" zoomScaleNormal="100" workbookViewId="0">
      <pane ySplit="4" topLeftCell="A50" activePane="bottomLeft" state="frozen"/>
      <selection pane="bottomLeft" activeCell="C58" sqref="C58:C6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306" t="s">
        <v>159</v>
      </c>
      <c r="C2" s="1307"/>
      <c r="D2" s="1307"/>
      <c r="E2" s="1307"/>
      <c r="F2" s="1307"/>
      <c r="G2" s="1307"/>
      <c r="H2" s="1307"/>
      <c r="I2" s="1307"/>
      <c r="J2" s="1307"/>
      <c r="K2" s="1307"/>
      <c r="L2" s="1307"/>
      <c r="M2" s="1308"/>
      <c r="N2" s="115"/>
    </row>
    <row r="3" spans="1:14" ht="4.3499999999999996" customHeight="1" thickBot="1">
      <c r="A3" s="113"/>
      <c r="B3" s="1306"/>
      <c r="C3" s="1307"/>
      <c r="D3" s="1307"/>
      <c r="E3" s="1307"/>
      <c r="F3" s="1307"/>
      <c r="G3" s="1307"/>
      <c r="H3" s="1307"/>
      <c r="I3" s="1307"/>
      <c r="J3" s="1307"/>
      <c r="K3" s="1307"/>
      <c r="L3" s="1307"/>
      <c r="M3" s="1308"/>
      <c r="N3" s="115"/>
    </row>
    <row r="4" spans="1:14" ht="15" customHeight="1" thickBot="1">
      <c r="A4" s="113"/>
      <c r="B4" s="410"/>
      <c r="C4" s="411" t="s">
        <v>118</v>
      </c>
      <c r="D4" s="1309" t="s">
        <v>119</v>
      </c>
      <c r="E4" s="1310"/>
      <c r="F4" s="1310"/>
      <c r="G4" s="1310"/>
      <c r="H4" s="1310"/>
      <c r="I4" s="1310"/>
      <c r="J4" s="1310"/>
      <c r="K4" s="1310"/>
      <c r="L4" s="1311"/>
      <c r="M4" s="412"/>
      <c r="N4" s="115"/>
    </row>
    <row r="5" spans="1:14" ht="4.3499999999999996" customHeight="1" thickBot="1">
      <c r="A5" s="113"/>
      <c r="B5" s="410"/>
      <c r="C5" s="413"/>
      <c r="D5" s="414"/>
      <c r="E5" s="414"/>
      <c r="F5" s="414"/>
      <c r="G5" s="415"/>
      <c r="M5" s="412"/>
      <c r="N5" s="115"/>
    </row>
    <row r="6" spans="1:14" ht="99" customHeight="1" thickBot="1">
      <c r="A6" s="113"/>
      <c r="B6" s="410"/>
      <c r="C6" s="416" t="s">
        <v>160</v>
      </c>
      <c r="D6" s="1312" t="s">
        <v>949</v>
      </c>
      <c r="E6" s="1313"/>
      <c r="F6" s="1313"/>
      <c r="G6" s="1313"/>
      <c r="H6" s="1313"/>
      <c r="I6" s="1313"/>
      <c r="J6" s="1313"/>
      <c r="K6" s="1313"/>
      <c r="L6" s="1314"/>
      <c r="M6" s="412"/>
      <c r="N6" s="115"/>
    </row>
    <row r="7" spans="1:14" ht="4.3499999999999996" customHeight="1" thickBot="1">
      <c r="A7" s="113"/>
      <c r="B7" s="410"/>
      <c r="C7" s="413"/>
      <c r="D7" s="414"/>
      <c r="E7" s="414"/>
      <c r="F7" s="414"/>
      <c r="G7" s="415"/>
      <c r="H7" s="107"/>
      <c r="I7" s="107"/>
      <c r="J7" s="107"/>
      <c r="K7" s="107"/>
      <c r="L7" s="107"/>
      <c r="M7" s="412"/>
      <c r="N7" s="115"/>
    </row>
    <row r="8" spans="1:14" ht="229.2" customHeight="1" thickBot="1">
      <c r="A8" s="113"/>
      <c r="B8" s="410"/>
      <c r="C8" s="417" t="s">
        <v>109</v>
      </c>
      <c r="D8" s="1312" t="s">
        <v>1201</v>
      </c>
      <c r="E8" s="1313"/>
      <c r="F8" s="1313"/>
      <c r="G8" s="1313"/>
      <c r="H8" s="1313"/>
      <c r="I8" s="1313"/>
      <c r="J8" s="1313"/>
      <c r="K8" s="1313"/>
      <c r="L8" s="1314"/>
      <c r="M8" s="412"/>
      <c r="N8" s="115"/>
    </row>
    <row r="9" spans="1:14" ht="4.3499999999999996" customHeight="1" thickBot="1">
      <c r="A9" s="113"/>
      <c r="B9" s="410"/>
      <c r="C9" s="413"/>
      <c r="D9" s="414"/>
      <c r="E9" s="414"/>
      <c r="F9" s="414"/>
      <c r="G9" s="415"/>
      <c r="H9" s="107"/>
      <c r="I9" s="107"/>
      <c r="J9" s="107"/>
      <c r="K9" s="107"/>
      <c r="L9" s="107"/>
      <c r="M9" s="412"/>
      <c r="N9" s="115"/>
    </row>
    <row r="10" spans="1:14" ht="282.60000000000002" customHeight="1" thickBot="1">
      <c r="A10" s="113"/>
      <c r="B10" s="410"/>
      <c r="C10" s="416" t="s">
        <v>1110</v>
      </c>
      <c r="D10" s="1315" t="s">
        <v>1202</v>
      </c>
      <c r="E10" s="1316"/>
      <c r="F10" s="1316"/>
      <c r="G10" s="1316"/>
      <c r="H10" s="1316"/>
      <c r="I10" s="1316"/>
      <c r="J10" s="1316"/>
      <c r="K10" s="1316"/>
      <c r="L10" s="1317"/>
      <c r="M10" s="412"/>
      <c r="N10" s="115"/>
    </row>
    <row r="11" spans="1:14" ht="4.3499999999999996" customHeight="1" thickBot="1">
      <c r="A11" s="113"/>
      <c r="B11" s="410"/>
      <c r="C11" s="413"/>
      <c r="D11" s="414"/>
      <c r="E11" s="414"/>
      <c r="F11" s="414"/>
      <c r="G11" s="415"/>
      <c r="H11" s="107"/>
      <c r="I11" s="107"/>
      <c r="J11" s="107"/>
      <c r="K11" s="107"/>
      <c r="L11" s="107"/>
      <c r="M11" s="412"/>
      <c r="N11" s="115"/>
    </row>
    <row r="12" spans="1:14" ht="227.4" customHeight="1" thickBot="1">
      <c r="A12" s="113"/>
      <c r="B12" s="410"/>
      <c r="C12" s="418" t="s">
        <v>1111</v>
      </c>
      <c r="D12" s="1315" t="s">
        <v>1203</v>
      </c>
      <c r="E12" s="1318"/>
      <c r="F12" s="1318"/>
      <c r="G12" s="1318"/>
      <c r="H12" s="1318"/>
      <c r="I12" s="1318"/>
      <c r="J12" s="1318"/>
      <c r="K12" s="1318"/>
      <c r="L12" s="1319"/>
      <c r="M12" s="412"/>
      <c r="N12" s="115"/>
    </row>
    <row r="13" spans="1:14" ht="4.3499999999999996" customHeight="1" thickBot="1">
      <c r="A13" s="113"/>
      <c r="B13" s="410"/>
      <c r="C13" s="413"/>
      <c r="D13" s="414"/>
      <c r="E13" s="414"/>
      <c r="F13" s="414"/>
      <c r="G13" s="415"/>
      <c r="H13" s="107"/>
      <c r="I13" s="107"/>
      <c r="J13" s="107"/>
      <c r="K13" s="107"/>
      <c r="L13" s="107"/>
      <c r="M13" s="412"/>
      <c r="N13" s="115"/>
    </row>
    <row r="14" spans="1:14" ht="39.75" customHeight="1" thickBot="1">
      <c r="A14" s="113"/>
      <c r="B14" s="410"/>
      <c r="C14" s="416" t="s">
        <v>3</v>
      </c>
      <c r="D14" s="1320" t="s">
        <v>117</v>
      </c>
      <c r="E14" s="1318"/>
      <c r="F14" s="1318"/>
      <c r="G14" s="1318"/>
      <c r="H14" s="1318"/>
      <c r="I14" s="1318"/>
      <c r="J14" s="1318"/>
      <c r="K14" s="1318"/>
      <c r="L14" s="1319"/>
      <c r="M14" s="412"/>
      <c r="N14" s="115"/>
    </row>
    <row r="15" spans="1:14" ht="4.3499999999999996" customHeight="1" thickBot="1">
      <c r="A15" s="113"/>
      <c r="B15" s="410"/>
      <c r="C15" s="413"/>
      <c r="D15" s="414"/>
      <c r="E15" s="414"/>
      <c r="F15" s="414"/>
      <c r="G15" s="415"/>
      <c r="H15" s="107"/>
      <c r="I15" s="107"/>
      <c r="J15" s="107"/>
      <c r="K15" s="107"/>
      <c r="L15" s="107"/>
      <c r="M15" s="412"/>
      <c r="N15" s="115"/>
    </row>
    <row r="16" spans="1:14" ht="122.7" customHeight="1" thickBot="1">
      <c r="A16" s="113"/>
      <c r="B16" s="410"/>
      <c r="C16" s="418" t="s">
        <v>1112</v>
      </c>
      <c r="D16" s="1320" t="s">
        <v>148</v>
      </c>
      <c r="E16" s="1318"/>
      <c r="F16" s="1318"/>
      <c r="G16" s="1318"/>
      <c r="H16" s="1318"/>
      <c r="I16" s="1318"/>
      <c r="J16" s="1318"/>
      <c r="K16" s="1318"/>
      <c r="L16" s="1319"/>
      <c r="M16" s="412"/>
      <c r="N16" s="115"/>
    </row>
    <row r="17" spans="1:14" ht="4.3499999999999996" customHeight="1" thickBot="1">
      <c r="A17" s="113"/>
      <c r="B17" s="410"/>
      <c r="C17" s="413"/>
      <c r="D17" s="414"/>
      <c r="E17" s="414"/>
      <c r="F17" s="414"/>
      <c r="G17" s="415"/>
      <c r="H17" s="107"/>
      <c r="I17" s="107"/>
      <c r="J17" s="107"/>
      <c r="K17" s="107"/>
      <c r="L17" s="107"/>
      <c r="M17" s="412"/>
      <c r="N17" s="115"/>
    </row>
    <row r="18" spans="1:14" ht="105.75" customHeight="1" thickBot="1">
      <c r="A18" s="113"/>
      <c r="B18" s="410"/>
      <c r="C18" s="418" t="s">
        <v>1113</v>
      </c>
      <c r="D18" s="1320" t="s">
        <v>149</v>
      </c>
      <c r="E18" s="1318"/>
      <c r="F18" s="1318"/>
      <c r="G18" s="1318"/>
      <c r="H18" s="1318"/>
      <c r="I18" s="1318"/>
      <c r="J18" s="1318"/>
      <c r="K18" s="1318"/>
      <c r="L18" s="1319"/>
      <c r="M18" s="412"/>
      <c r="N18" s="115"/>
    </row>
    <row r="19" spans="1:14" ht="4.3499999999999996" customHeight="1" thickBot="1">
      <c r="A19" s="113"/>
      <c r="B19" s="410"/>
      <c r="C19" s="413"/>
      <c r="D19" s="414"/>
      <c r="E19" s="414"/>
      <c r="F19" s="414"/>
      <c r="G19" s="415"/>
      <c r="H19" s="107"/>
      <c r="I19" s="107"/>
      <c r="J19" s="107"/>
      <c r="K19" s="107"/>
      <c r="L19" s="107"/>
      <c r="M19" s="412"/>
      <c r="N19" s="115"/>
    </row>
    <row r="20" spans="1:14" s="107" customFormat="1" ht="276.60000000000002" customHeight="1" thickBot="1">
      <c r="A20" s="117"/>
      <c r="B20" s="419"/>
      <c r="C20" s="416" t="s">
        <v>1114</v>
      </c>
      <c r="D20" s="1315" t="s">
        <v>755</v>
      </c>
      <c r="E20" s="1318"/>
      <c r="F20" s="1318"/>
      <c r="G20" s="1318"/>
      <c r="H20" s="1318"/>
      <c r="I20" s="1318"/>
      <c r="J20" s="1318"/>
      <c r="K20" s="1318"/>
      <c r="L20" s="1319"/>
      <c r="M20" s="420"/>
      <c r="N20" s="116"/>
    </row>
    <row r="21" spans="1:14" ht="4.3499999999999996" customHeight="1" thickBot="1">
      <c r="A21" s="113"/>
      <c r="B21" s="410"/>
      <c r="C21" s="413"/>
      <c r="D21" s="414"/>
      <c r="E21" s="414"/>
      <c r="F21" s="414"/>
      <c r="G21" s="415"/>
      <c r="H21" s="107"/>
      <c r="I21" s="107"/>
      <c r="J21" s="107"/>
      <c r="K21" s="107"/>
      <c r="L21" s="107"/>
      <c r="M21" s="412"/>
      <c r="N21" s="115"/>
    </row>
    <row r="22" spans="1:14" ht="193.35" customHeight="1" thickBot="1">
      <c r="A22" s="113"/>
      <c r="B22" s="410"/>
      <c r="C22" s="416" t="s">
        <v>1115</v>
      </c>
      <c r="D22" s="1315" t="s">
        <v>974</v>
      </c>
      <c r="E22" s="1318"/>
      <c r="F22" s="1318"/>
      <c r="G22" s="1318"/>
      <c r="H22" s="1318"/>
      <c r="I22" s="1318"/>
      <c r="J22" s="1318"/>
      <c r="K22" s="1318"/>
      <c r="L22" s="1319"/>
      <c r="M22" s="412"/>
      <c r="N22" s="115"/>
    </row>
    <row r="23" spans="1:14" ht="4.3499999999999996" customHeight="1" thickBot="1">
      <c r="A23" s="113"/>
      <c r="B23" s="410"/>
      <c r="C23" s="413"/>
      <c r="D23" s="414"/>
      <c r="E23" s="414"/>
      <c r="F23" s="414"/>
      <c r="G23" s="415"/>
      <c r="H23" s="107"/>
      <c r="I23" s="107"/>
      <c r="J23" s="107"/>
      <c r="K23" s="107"/>
      <c r="L23" s="107"/>
      <c r="M23" s="412"/>
      <c r="N23" s="115"/>
    </row>
    <row r="24" spans="1:14" ht="198" customHeight="1" thickBot="1">
      <c r="A24" s="113"/>
      <c r="B24" s="410"/>
      <c r="C24" s="417" t="s">
        <v>31</v>
      </c>
      <c r="D24" s="1315" t="s">
        <v>1200</v>
      </c>
      <c r="E24" s="1318"/>
      <c r="F24" s="1318"/>
      <c r="G24" s="1318"/>
      <c r="H24" s="1318"/>
      <c r="I24" s="1318"/>
      <c r="J24" s="1318"/>
      <c r="K24" s="1318"/>
      <c r="L24" s="1319"/>
      <c r="M24" s="412"/>
      <c r="N24" s="115"/>
    </row>
    <row r="25" spans="1:14" ht="4.3499999999999996" customHeight="1" thickBot="1">
      <c r="A25" s="113"/>
      <c r="B25" s="410"/>
      <c r="C25" s="413"/>
      <c r="D25" s="414"/>
      <c r="E25" s="414"/>
      <c r="F25" s="414"/>
      <c r="G25" s="415"/>
      <c r="H25" s="107"/>
      <c r="I25" s="107"/>
      <c r="J25" s="107"/>
      <c r="K25" s="107"/>
      <c r="L25" s="107"/>
      <c r="M25" s="412"/>
      <c r="N25" s="115"/>
    </row>
    <row r="26" spans="1:14" ht="152.1" customHeight="1" thickBot="1">
      <c r="A26" s="113"/>
      <c r="B26" s="410"/>
      <c r="C26" s="416" t="s">
        <v>1116</v>
      </c>
      <c r="D26" s="1320" t="s">
        <v>150</v>
      </c>
      <c r="E26" s="1318"/>
      <c r="F26" s="1318"/>
      <c r="G26" s="1318"/>
      <c r="H26" s="1318"/>
      <c r="I26" s="1318"/>
      <c r="J26" s="1318"/>
      <c r="K26" s="1318"/>
      <c r="L26" s="1319"/>
      <c r="M26" s="412"/>
      <c r="N26" s="115"/>
    </row>
    <row r="27" spans="1:14" ht="4.3499999999999996" customHeight="1" thickBot="1">
      <c r="A27" s="113"/>
      <c r="B27" s="410"/>
      <c r="C27" s="413"/>
      <c r="D27" s="414"/>
      <c r="E27" s="414"/>
      <c r="F27" s="414"/>
      <c r="G27" s="415"/>
      <c r="H27" s="107"/>
      <c r="I27" s="107"/>
      <c r="J27" s="107"/>
      <c r="K27" s="107"/>
      <c r="L27" s="107"/>
      <c r="M27" s="412"/>
      <c r="N27" s="115"/>
    </row>
    <row r="28" spans="1:14" ht="54.75" customHeight="1" thickBot="1">
      <c r="A28" s="113"/>
      <c r="B28" s="410"/>
      <c r="C28" s="418" t="s">
        <v>9</v>
      </c>
      <c r="D28" s="1321" t="s">
        <v>151</v>
      </c>
      <c r="E28" s="1313"/>
      <c r="F28" s="1313"/>
      <c r="G28" s="1313"/>
      <c r="H28" s="1313"/>
      <c r="I28" s="1313"/>
      <c r="J28" s="1313"/>
      <c r="K28" s="1313"/>
      <c r="L28" s="1314"/>
      <c r="M28" s="412"/>
      <c r="N28" s="115"/>
    </row>
    <row r="29" spans="1:14" ht="4.3499999999999996" customHeight="1" thickBot="1">
      <c r="A29" s="113"/>
      <c r="B29" s="410"/>
      <c r="C29" s="413"/>
      <c r="D29" s="414"/>
      <c r="E29" s="414"/>
      <c r="F29" s="414"/>
      <c r="G29" s="415"/>
      <c r="H29" s="107"/>
      <c r="I29" s="107"/>
      <c r="J29" s="107"/>
      <c r="K29" s="107"/>
      <c r="L29" s="107"/>
      <c r="M29" s="412"/>
      <c r="N29" s="115"/>
    </row>
    <row r="30" spans="1:14" ht="80.400000000000006" customHeight="1" thickBot="1">
      <c r="A30" s="113"/>
      <c r="B30" s="410"/>
      <c r="C30" s="418" t="s">
        <v>1117</v>
      </c>
      <c r="D30" s="1315" t="s">
        <v>1188</v>
      </c>
      <c r="E30" s="1318"/>
      <c r="F30" s="1318"/>
      <c r="G30" s="1318"/>
      <c r="H30" s="1318"/>
      <c r="I30" s="1318"/>
      <c r="J30" s="1318"/>
      <c r="K30" s="1318"/>
      <c r="L30" s="1319"/>
      <c r="M30" s="412"/>
      <c r="N30" s="115"/>
    </row>
    <row r="31" spans="1:14" ht="4.3499999999999996" customHeight="1" thickBot="1">
      <c r="A31" s="113"/>
      <c r="B31" s="410"/>
      <c r="C31" s="413"/>
      <c r="D31" s="414"/>
      <c r="E31" s="414"/>
      <c r="F31" s="414"/>
      <c r="G31" s="415"/>
      <c r="H31" s="107"/>
      <c r="I31" s="107"/>
      <c r="J31" s="107"/>
      <c r="K31" s="107"/>
      <c r="L31" s="107"/>
      <c r="M31" s="412"/>
      <c r="N31" s="115"/>
    </row>
    <row r="32" spans="1:14" ht="65.400000000000006" customHeight="1" thickBot="1">
      <c r="A32" s="113"/>
      <c r="B32" s="410"/>
      <c r="C32" s="418" t="s">
        <v>1308</v>
      </c>
      <c r="D32" s="1320" t="s">
        <v>152</v>
      </c>
      <c r="E32" s="1318"/>
      <c r="F32" s="1318"/>
      <c r="G32" s="1318"/>
      <c r="H32" s="1318"/>
      <c r="I32" s="1318"/>
      <c r="J32" s="1318"/>
      <c r="K32" s="1318"/>
      <c r="L32" s="1319"/>
      <c r="M32" s="412"/>
      <c r="N32" s="115"/>
    </row>
    <row r="33" spans="1:14" ht="3.75" customHeight="1" thickBot="1">
      <c r="A33" s="113"/>
      <c r="B33" s="410"/>
      <c r="C33" s="760"/>
      <c r="D33" s="423"/>
      <c r="E33" s="423"/>
      <c r="F33" s="423"/>
      <c r="G33" s="423"/>
      <c r="H33" s="423"/>
      <c r="I33" s="423"/>
      <c r="J33" s="423"/>
      <c r="K33" s="423"/>
      <c r="L33" s="423"/>
      <c r="M33" s="412"/>
      <c r="N33" s="115"/>
    </row>
    <row r="34" spans="1:14" ht="43.5" customHeight="1">
      <c r="A34" s="113"/>
      <c r="B34" s="410"/>
      <c r="C34" s="1004" t="s">
        <v>1256</v>
      </c>
      <c r="D34" s="1322" t="s">
        <v>1303</v>
      </c>
      <c r="E34" s="1323"/>
      <c r="F34" s="1323"/>
      <c r="G34" s="1323"/>
      <c r="H34" s="1323"/>
      <c r="I34" s="1323"/>
      <c r="J34" s="1323"/>
      <c r="K34" s="1323"/>
      <c r="L34" s="1324"/>
      <c r="M34" s="412"/>
      <c r="N34" s="115"/>
    </row>
    <row r="35" spans="1:14" ht="18.75" customHeight="1" thickBot="1">
      <c r="A35" s="113"/>
      <c r="B35" s="410"/>
      <c r="C35" s="1005"/>
      <c r="D35" s="1325" t="s">
        <v>1302</v>
      </c>
      <c r="E35" s="1326"/>
      <c r="F35" s="1326"/>
      <c r="G35" s="1326"/>
      <c r="H35" s="1326"/>
      <c r="I35" s="1326"/>
      <c r="J35" s="1326"/>
      <c r="K35" s="1326"/>
      <c r="L35" s="1327"/>
      <c r="M35" s="412"/>
      <c r="N35" s="115"/>
    </row>
    <row r="36" spans="1:14" ht="3.75" customHeight="1" thickBot="1">
      <c r="A36" s="113"/>
      <c r="B36" s="410"/>
      <c r="C36" s="760"/>
      <c r="D36" s="423"/>
      <c r="E36" s="423"/>
      <c r="F36" s="423"/>
      <c r="G36" s="423"/>
      <c r="H36" s="423"/>
      <c r="I36" s="423"/>
      <c r="J36" s="423"/>
      <c r="K36" s="423"/>
      <c r="L36" s="423"/>
      <c r="M36" s="412"/>
      <c r="N36" s="115"/>
    </row>
    <row r="37" spans="1:14" ht="31.5" customHeight="1" thickBot="1">
      <c r="A37" s="113"/>
      <c r="B37" s="410"/>
      <c r="C37" s="416" t="s">
        <v>4</v>
      </c>
      <c r="D37" s="1320" t="s">
        <v>153</v>
      </c>
      <c r="E37" s="1318"/>
      <c r="F37" s="1318"/>
      <c r="G37" s="1318"/>
      <c r="H37" s="1318"/>
      <c r="I37" s="1318"/>
      <c r="J37" s="1318"/>
      <c r="K37" s="1318"/>
      <c r="L37" s="1319"/>
      <c r="M37" s="412"/>
      <c r="N37" s="115"/>
    </row>
    <row r="38" spans="1:14" ht="4.3499999999999996" customHeight="1" thickBot="1">
      <c r="A38" s="113"/>
      <c r="B38" s="410"/>
      <c r="C38" s="413"/>
      <c r="D38" s="414"/>
      <c r="E38" s="414"/>
      <c r="F38" s="414"/>
      <c r="G38" s="415"/>
      <c r="H38" s="107"/>
      <c r="I38" s="107"/>
      <c r="J38" s="107"/>
      <c r="K38" s="107"/>
      <c r="L38" s="107"/>
      <c r="M38" s="412"/>
      <c r="N38" s="115"/>
    </row>
    <row r="39" spans="1:14" ht="68.400000000000006" customHeight="1" thickBot="1">
      <c r="A39" s="113"/>
      <c r="B39" s="410"/>
      <c r="C39" s="418" t="s">
        <v>155</v>
      </c>
      <c r="D39" s="1321" t="s">
        <v>154</v>
      </c>
      <c r="E39" s="1318"/>
      <c r="F39" s="1318"/>
      <c r="G39" s="1318"/>
      <c r="H39" s="1318"/>
      <c r="I39" s="1318"/>
      <c r="J39" s="1318"/>
      <c r="K39" s="1318"/>
      <c r="L39" s="1319"/>
      <c r="M39" s="412"/>
      <c r="N39" s="115"/>
    </row>
    <row r="40" spans="1:14" ht="4.3499999999999996" customHeight="1" thickBot="1">
      <c r="A40" s="113"/>
      <c r="B40" s="410"/>
      <c r="C40" s="413"/>
      <c r="D40" s="414"/>
      <c r="E40" s="414"/>
      <c r="F40" s="414"/>
      <c r="G40" s="415"/>
      <c r="H40" s="107"/>
      <c r="I40" s="107"/>
      <c r="J40" s="107"/>
      <c r="K40" s="107"/>
      <c r="L40" s="107"/>
      <c r="M40" s="412"/>
      <c r="N40" s="115"/>
    </row>
    <row r="41" spans="1:14" ht="409.6" customHeight="1" thickBot="1">
      <c r="A41" s="113"/>
      <c r="B41" s="410"/>
      <c r="C41" s="416" t="s">
        <v>1118</v>
      </c>
      <c r="D41" s="1315" t="s">
        <v>1189</v>
      </c>
      <c r="E41" s="1318"/>
      <c r="F41" s="1318"/>
      <c r="G41" s="1318"/>
      <c r="H41" s="1318"/>
      <c r="I41" s="1318"/>
      <c r="J41" s="1318"/>
      <c r="K41" s="1318"/>
      <c r="L41" s="1319"/>
      <c r="M41" s="412"/>
      <c r="N41" s="115"/>
    </row>
    <row r="42" spans="1:14" ht="3.75" customHeight="1" thickBot="1">
      <c r="A42" s="113"/>
      <c r="B42" s="410"/>
      <c r="C42" s="983"/>
      <c r="D42" s="756"/>
      <c r="E42" s="423"/>
      <c r="F42" s="423"/>
      <c r="G42" s="423"/>
      <c r="H42" s="423"/>
      <c r="I42" s="423"/>
      <c r="J42" s="423"/>
      <c r="K42" s="423"/>
      <c r="L42" s="423"/>
      <c r="M42" s="412"/>
      <c r="N42" s="115"/>
    </row>
    <row r="43" spans="1:14" ht="67.5" customHeight="1" thickBot="1">
      <c r="A43" s="113"/>
      <c r="B43" s="410"/>
      <c r="C43" s="418" t="s">
        <v>1261</v>
      </c>
      <c r="D43" s="1315" t="s">
        <v>1307</v>
      </c>
      <c r="E43" s="1318"/>
      <c r="F43" s="1318"/>
      <c r="G43" s="1318"/>
      <c r="H43" s="1318"/>
      <c r="I43" s="1318"/>
      <c r="J43" s="1318"/>
      <c r="K43" s="1318"/>
      <c r="L43" s="1319"/>
      <c r="M43" s="412"/>
      <c r="N43" s="115"/>
    </row>
    <row r="44" spans="1:14" ht="4.3499999999999996" customHeight="1" thickBot="1">
      <c r="A44" s="113"/>
      <c r="B44" s="410"/>
      <c r="C44" s="413"/>
      <c r="D44" s="414"/>
      <c r="E44" s="414"/>
      <c r="F44" s="414"/>
      <c r="G44" s="415"/>
      <c r="H44" s="107"/>
      <c r="I44" s="107"/>
      <c r="J44" s="107"/>
      <c r="K44" s="107"/>
      <c r="L44" s="107"/>
      <c r="M44" s="412"/>
      <c r="N44" s="115"/>
    </row>
    <row r="45" spans="1:14" ht="95.4" customHeight="1" thickBot="1">
      <c r="A45" s="113"/>
      <c r="B45" s="410"/>
      <c r="C45" s="418" t="s">
        <v>898</v>
      </c>
      <c r="D45" s="1315" t="s">
        <v>899</v>
      </c>
      <c r="E45" s="1318"/>
      <c r="F45" s="1318"/>
      <c r="G45" s="1318"/>
      <c r="H45" s="1318"/>
      <c r="I45" s="1318"/>
      <c r="J45" s="1318"/>
      <c r="K45" s="1318"/>
      <c r="L45" s="1319"/>
      <c r="M45" s="412"/>
      <c r="N45" s="115"/>
    </row>
    <row r="46" spans="1:14" ht="4.3499999999999996" customHeight="1" thickBot="1">
      <c r="A46" s="113"/>
      <c r="B46" s="410"/>
      <c r="C46" s="413"/>
      <c r="D46" s="414"/>
      <c r="E46" s="414"/>
      <c r="F46" s="414"/>
      <c r="G46" s="415"/>
      <c r="H46" s="107"/>
      <c r="I46" s="107"/>
      <c r="J46" s="107"/>
      <c r="K46" s="107"/>
      <c r="L46" s="107"/>
      <c r="M46" s="412"/>
      <c r="N46" s="115"/>
    </row>
    <row r="47" spans="1:14" ht="151.35" customHeight="1" thickBot="1">
      <c r="A47" s="113"/>
      <c r="B47" s="410"/>
      <c r="C47" s="416" t="s">
        <v>1119</v>
      </c>
      <c r="D47" s="1315" t="s">
        <v>666</v>
      </c>
      <c r="E47" s="1318"/>
      <c r="F47" s="1318"/>
      <c r="G47" s="1318"/>
      <c r="H47" s="1318"/>
      <c r="I47" s="1318"/>
      <c r="J47" s="1318"/>
      <c r="K47" s="1318"/>
      <c r="L47" s="1319"/>
      <c r="M47" s="412"/>
      <c r="N47" s="115"/>
    </row>
    <row r="48" spans="1:14" ht="4.3499999999999996" customHeight="1" thickBot="1">
      <c r="A48" s="113"/>
      <c r="B48" s="410"/>
      <c r="C48" s="413"/>
      <c r="D48" s="414"/>
      <c r="E48" s="414"/>
      <c r="F48" s="414"/>
      <c r="G48" s="415"/>
      <c r="H48" s="107"/>
      <c r="I48" s="107"/>
      <c r="J48" s="107"/>
      <c r="K48" s="107"/>
      <c r="L48" s="107"/>
      <c r="M48" s="412"/>
      <c r="N48" s="115"/>
    </row>
    <row r="49" spans="1:14" ht="340.2" customHeight="1">
      <c r="A49" s="113"/>
      <c r="B49" s="410"/>
      <c r="C49" s="1328" t="s">
        <v>30</v>
      </c>
      <c r="D49" s="1330" t="s">
        <v>1204</v>
      </c>
      <c r="E49" s="1331"/>
      <c r="F49" s="1331"/>
      <c r="G49" s="1331"/>
      <c r="H49" s="1331"/>
      <c r="I49" s="1331"/>
      <c r="J49" s="1331"/>
      <c r="K49" s="1331"/>
      <c r="L49" s="1332"/>
      <c r="M49" s="412"/>
      <c r="N49" s="115"/>
    </row>
    <row r="50" spans="1:14" ht="13.8" thickBot="1">
      <c r="A50" s="113"/>
      <c r="B50" s="410"/>
      <c r="C50" s="1329"/>
      <c r="D50" s="1333"/>
      <c r="E50" s="1334"/>
      <c r="F50" s="1334"/>
      <c r="G50" s="1334"/>
      <c r="H50" s="1334"/>
      <c r="I50" s="1334"/>
      <c r="J50" s="1334"/>
      <c r="K50" s="1334"/>
      <c r="L50" s="1335"/>
      <c r="M50" s="412"/>
      <c r="N50" s="115"/>
    </row>
    <row r="51" spans="1:14" ht="4.3499999999999996" customHeight="1" thickBot="1">
      <c r="A51" s="113"/>
      <c r="B51" s="410"/>
      <c r="C51" s="413"/>
      <c r="D51" s="414"/>
      <c r="E51" s="414"/>
      <c r="F51" s="414"/>
      <c r="G51" s="415"/>
      <c r="H51" s="107"/>
      <c r="I51" s="107"/>
      <c r="J51" s="107"/>
      <c r="K51" s="107"/>
      <c r="L51" s="107"/>
      <c r="M51" s="412"/>
      <c r="N51" s="115"/>
    </row>
    <row r="52" spans="1:14" ht="73.349999999999994" customHeight="1" thickBot="1">
      <c r="A52" s="113"/>
      <c r="B52" s="410"/>
      <c r="C52" s="416" t="s">
        <v>5</v>
      </c>
      <c r="D52" s="1315" t="s">
        <v>1205</v>
      </c>
      <c r="E52" s="1318"/>
      <c r="F52" s="1318"/>
      <c r="G52" s="1318"/>
      <c r="H52" s="1318"/>
      <c r="I52" s="1318"/>
      <c r="J52" s="1318"/>
      <c r="K52" s="1318"/>
      <c r="L52" s="1319"/>
      <c r="M52" s="412"/>
      <c r="N52" s="115"/>
    </row>
    <row r="53" spans="1:14" ht="4.3499999999999996" customHeight="1" thickBot="1">
      <c r="A53" s="113"/>
      <c r="B53" s="410"/>
      <c r="C53" s="422"/>
      <c r="D53" s="201"/>
      <c r="E53" s="201"/>
      <c r="F53" s="201"/>
      <c r="G53" s="423"/>
      <c r="H53" s="414"/>
      <c r="I53" s="414"/>
      <c r="J53" s="414"/>
      <c r="K53" s="414"/>
      <c r="L53" s="414"/>
      <c r="M53" s="412"/>
      <c r="N53" s="115"/>
    </row>
    <row r="54" spans="1:14" ht="97.2" customHeight="1" thickBot="1">
      <c r="A54" s="113"/>
      <c r="B54" s="410"/>
      <c r="C54" s="418" t="s">
        <v>1109</v>
      </c>
      <c r="D54" s="1320" t="s">
        <v>156</v>
      </c>
      <c r="E54" s="1318"/>
      <c r="F54" s="1318"/>
      <c r="G54" s="1318"/>
      <c r="H54" s="1318"/>
      <c r="I54" s="1318"/>
      <c r="J54" s="1318"/>
      <c r="K54" s="1318"/>
      <c r="L54" s="1319"/>
      <c r="M54" s="412"/>
      <c r="N54" s="115"/>
    </row>
    <row r="55" spans="1:14" ht="4.3499999999999996" customHeight="1" thickBot="1">
      <c r="A55" s="113"/>
      <c r="B55" s="410"/>
      <c r="C55" s="422"/>
      <c r="D55" s="201"/>
      <c r="E55" s="201"/>
      <c r="F55" s="201"/>
      <c r="G55" s="423"/>
      <c r="H55" s="414"/>
      <c r="I55" s="414"/>
      <c r="J55" s="414"/>
      <c r="K55" s="414"/>
      <c r="L55" s="414"/>
      <c r="M55" s="412"/>
      <c r="N55" s="115"/>
    </row>
    <row r="56" spans="1:14" ht="198" customHeight="1" thickBot="1">
      <c r="A56" s="113"/>
      <c r="B56" s="410"/>
      <c r="C56" s="416" t="s">
        <v>1108</v>
      </c>
      <c r="D56" s="1336" t="s">
        <v>1298</v>
      </c>
      <c r="E56" s="1337"/>
      <c r="F56" s="1337"/>
      <c r="G56" s="1337"/>
      <c r="H56" s="1337"/>
      <c r="I56" s="1337"/>
      <c r="J56" s="1337"/>
      <c r="K56" s="1337"/>
      <c r="L56" s="1338"/>
      <c r="M56" s="412"/>
      <c r="N56" s="115"/>
    </row>
    <row r="57" spans="1:14" ht="4.3499999999999996" customHeight="1" thickBot="1">
      <c r="A57" s="113"/>
      <c r="B57" s="410"/>
      <c r="C57" s="413"/>
      <c r="D57" s="414"/>
      <c r="E57" s="414"/>
      <c r="F57" s="414"/>
      <c r="G57" s="415"/>
      <c r="H57" s="107"/>
      <c r="I57" s="107"/>
      <c r="J57" s="107"/>
      <c r="K57" s="107"/>
      <c r="L57" s="107"/>
      <c r="M57" s="412"/>
      <c r="N57" s="115"/>
    </row>
    <row r="58" spans="1:14" ht="102" customHeight="1">
      <c r="A58" s="113"/>
      <c r="B58" s="410"/>
      <c r="C58" s="1328" t="s">
        <v>24</v>
      </c>
      <c r="D58" s="1330" t="s">
        <v>976</v>
      </c>
      <c r="E58" s="1331"/>
      <c r="F58" s="1331"/>
      <c r="G58" s="1331"/>
      <c r="H58" s="1331"/>
      <c r="I58" s="1331"/>
      <c r="J58" s="1331"/>
      <c r="K58" s="1331"/>
      <c r="L58" s="1332"/>
      <c r="M58" s="412"/>
      <c r="N58" s="115"/>
    </row>
    <row r="59" spans="1:14" ht="18" customHeight="1">
      <c r="A59" s="113"/>
      <c r="B59" s="410"/>
      <c r="C59" s="1340"/>
      <c r="D59" s="424"/>
      <c r="E59" s="1339" t="s">
        <v>104</v>
      </c>
      <c r="F59" s="1339"/>
      <c r="G59" s="425" t="s">
        <v>102</v>
      </c>
      <c r="H59" s="425"/>
      <c r="I59" s="1342" t="s">
        <v>103</v>
      </c>
      <c r="J59" s="1342"/>
      <c r="K59" s="423"/>
      <c r="L59" s="426"/>
      <c r="M59" s="412"/>
      <c r="N59" s="115"/>
    </row>
    <row r="60" spans="1:14" ht="18.75" customHeight="1">
      <c r="A60" s="113"/>
      <c r="B60" s="410"/>
      <c r="C60" s="1340"/>
      <c r="D60" s="424"/>
      <c r="E60" s="1343">
        <v>100</v>
      </c>
      <c r="F60" s="1344"/>
      <c r="G60" s="607" t="s">
        <v>98</v>
      </c>
      <c r="H60" s="35" t="s">
        <v>101</v>
      </c>
      <c r="I60" s="606">
        <f>E60*INDEX(Sheet1!N2:P4,MATCH(G60,Sheet1!M2:M4,0),MATCH(J60,Sheet1!N1:P1,0))</f>
        <v>306.88832897372282</v>
      </c>
      <c r="J60" s="607" t="s">
        <v>22</v>
      </c>
      <c r="K60" s="423"/>
      <c r="L60" s="426"/>
      <c r="M60" s="412"/>
      <c r="N60" s="115"/>
    </row>
    <row r="61" spans="1:14" ht="18" customHeight="1">
      <c r="A61" s="113"/>
      <c r="B61" s="410"/>
      <c r="C61" s="1340"/>
      <c r="D61" s="424"/>
      <c r="E61" s="414"/>
      <c r="F61" s="414"/>
      <c r="G61" s="1341" t="str">
        <f>"(conversion factor = "&amp;ROUND(INDEX(Sheet1!N2:P4,MATCH(G60,Sheet1!M2:M4,0),MATCH(J60,Sheet1!N1:P1,0)),4)&amp;")"</f>
        <v>(conversion factor = 3.0689)</v>
      </c>
      <c r="H61" s="1341"/>
      <c r="I61" s="1341"/>
      <c r="J61" s="1341"/>
      <c r="K61" s="423"/>
      <c r="L61" s="426"/>
      <c r="M61" s="412"/>
      <c r="N61" s="115"/>
    </row>
    <row r="62" spans="1:14" ht="3.75" customHeight="1" thickBot="1">
      <c r="A62" s="113"/>
      <c r="B62" s="410"/>
      <c r="C62" s="1329"/>
      <c r="D62" s="427"/>
      <c r="E62" s="428"/>
      <c r="F62" s="428"/>
      <c r="G62" s="429"/>
      <c r="H62" s="248"/>
      <c r="I62" s="248"/>
      <c r="J62" s="248"/>
      <c r="K62" s="248"/>
      <c r="L62" s="249"/>
      <c r="M62" s="412"/>
      <c r="N62" s="115"/>
    </row>
    <row r="63" spans="1:14" ht="3.75" customHeight="1" thickBot="1">
      <c r="A63" s="113"/>
      <c r="B63" s="410"/>
      <c r="C63" s="983"/>
      <c r="D63" s="107"/>
      <c r="E63" s="414"/>
      <c r="F63" s="414"/>
      <c r="G63" s="107"/>
      <c r="H63" s="423"/>
      <c r="I63" s="423"/>
      <c r="J63" s="423"/>
      <c r="K63" s="423"/>
      <c r="L63" s="423"/>
      <c r="M63" s="412"/>
      <c r="N63" s="115"/>
    </row>
    <row r="64" spans="1:14" ht="77.25" customHeight="1" thickBot="1">
      <c r="A64" s="113"/>
      <c r="B64" s="410"/>
      <c r="C64" s="418" t="s">
        <v>1260</v>
      </c>
      <c r="D64" s="1315" t="s">
        <v>1306</v>
      </c>
      <c r="E64" s="1318"/>
      <c r="F64" s="1318"/>
      <c r="G64" s="1318"/>
      <c r="H64" s="1318"/>
      <c r="I64" s="1318"/>
      <c r="J64" s="1318"/>
      <c r="K64" s="1318"/>
      <c r="L64" s="1319"/>
      <c r="M64" s="412"/>
      <c r="N64" s="115"/>
    </row>
    <row r="65" spans="1:14" ht="3.75" customHeight="1" thickBot="1">
      <c r="A65" s="113"/>
      <c r="B65" s="410"/>
      <c r="C65" s="983"/>
      <c r="D65" s="107"/>
      <c r="E65" s="414"/>
      <c r="F65" s="414"/>
      <c r="G65" s="107"/>
      <c r="H65" s="423"/>
      <c r="I65" s="423"/>
      <c r="J65" s="423"/>
      <c r="K65" s="423"/>
      <c r="L65" s="423"/>
      <c r="M65" s="412"/>
      <c r="N65" s="115"/>
    </row>
    <row r="66" spans="1:14" ht="63.75" customHeight="1" thickBot="1">
      <c r="A66" s="113"/>
      <c r="B66" s="410"/>
      <c r="C66" s="418" t="s">
        <v>1259</v>
      </c>
      <c r="D66" s="1315" t="s">
        <v>1305</v>
      </c>
      <c r="E66" s="1318"/>
      <c r="F66" s="1318"/>
      <c r="G66" s="1318"/>
      <c r="H66" s="1318"/>
      <c r="I66" s="1318"/>
      <c r="J66" s="1318"/>
      <c r="K66" s="1318"/>
      <c r="L66" s="1319"/>
      <c r="M66" s="412"/>
      <c r="N66" s="115"/>
    </row>
    <row r="67" spans="1:14" ht="3.75" customHeight="1" thickBot="1">
      <c r="A67" s="113"/>
      <c r="B67" s="410"/>
      <c r="C67" s="983"/>
      <c r="D67" s="107"/>
      <c r="E67" s="414"/>
      <c r="F67" s="414"/>
      <c r="G67" s="107"/>
      <c r="H67" s="423"/>
      <c r="I67" s="423"/>
      <c r="J67" s="423"/>
      <c r="K67" s="423"/>
      <c r="L67" s="423"/>
      <c r="M67" s="412"/>
      <c r="N67" s="115"/>
    </row>
    <row r="68" spans="1:14" ht="113.25" customHeight="1" thickBot="1">
      <c r="A68" s="113"/>
      <c r="B68" s="410"/>
      <c r="C68" s="416" t="s">
        <v>1258</v>
      </c>
      <c r="D68" s="1315" t="s">
        <v>1304</v>
      </c>
      <c r="E68" s="1318"/>
      <c r="F68" s="1318"/>
      <c r="G68" s="1318"/>
      <c r="H68" s="1318"/>
      <c r="I68" s="1318"/>
      <c r="J68" s="1318"/>
      <c r="K68" s="1318"/>
      <c r="L68" s="1319"/>
      <c r="M68" s="412"/>
      <c r="N68" s="115"/>
    </row>
    <row r="69" spans="1:14" ht="4.3499999999999996" customHeight="1" thickBot="1">
      <c r="A69" s="113"/>
      <c r="B69" s="410"/>
      <c r="C69" s="430"/>
      <c r="D69" s="414"/>
      <c r="E69" s="414"/>
      <c r="F69" s="414"/>
      <c r="G69" s="107"/>
      <c r="H69" s="107"/>
      <c r="I69" s="107"/>
      <c r="J69" s="107"/>
      <c r="K69" s="107"/>
      <c r="L69" s="107"/>
      <c r="M69" s="412"/>
      <c r="N69" s="115"/>
    </row>
    <row r="70" spans="1:14" ht="121.5" customHeight="1" thickBot="1">
      <c r="A70" s="113"/>
      <c r="B70" s="410"/>
      <c r="C70" s="421" t="s">
        <v>1310</v>
      </c>
      <c r="D70" s="1315" t="s">
        <v>1101</v>
      </c>
      <c r="E70" s="1318"/>
      <c r="F70" s="1318"/>
      <c r="G70" s="1318"/>
      <c r="H70" s="1318"/>
      <c r="I70" s="1318"/>
      <c r="J70" s="1318"/>
      <c r="K70" s="1318"/>
      <c r="L70" s="1319"/>
      <c r="M70" s="412"/>
      <c r="N70" s="115"/>
    </row>
    <row r="71" spans="1:14" ht="4.3499999999999996" customHeight="1" thickBot="1">
      <c r="A71" s="113"/>
      <c r="B71" s="410"/>
      <c r="C71" s="430"/>
      <c r="D71" s="414"/>
      <c r="E71" s="414"/>
      <c r="F71" s="414"/>
      <c r="G71" s="107"/>
      <c r="H71" s="107"/>
      <c r="I71" s="107"/>
      <c r="J71" s="107"/>
      <c r="K71" s="107"/>
      <c r="L71" s="107"/>
      <c r="M71" s="412"/>
      <c r="N71" s="115"/>
    </row>
    <row r="72" spans="1:14" ht="201.6" customHeight="1" thickBot="1">
      <c r="A72" s="113"/>
      <c r="B72" s="410"/>
      <c r="C72" s="417" t="s">
        <v>1120</v>
      </c>
      <c r="D72" s="1315" t="s">
        <v>762</v>
      </c>
      <c r="E72" s="1318"/>
      <c r="F72" s="1318"/>
      <c r="G72" s="1318"/>
      <c r="H72" s="1318"/>
      <c r="I72" s="1318"/>
      <c r="J72" s="1318"/>
      <c r="K72" s="1318"/>
      <c r="L72" s="1319"/>
      <c r="M72" s="412"/>
      <c r="N72" s="115"/>
    </row>
    <row r="73" spans="1:14" ht="4.3499999999999996" customHeight="1" thickBot="1">
      <c r="A73" s="113"/>
      <c r="B73" s="410"/>
      <c r="C73" s="430"/>
      <c r="D73" s="414"/>
      <c r="E73" s="414"/>
      <c r="F73" s="414"/>
      <c r="G73" s="107"/>
      <c r="H73" s="107"/>
      <c r="I73" s="107"/>
      <c r="J73" s="107"/>
      <c r="K73" s="107"/>
      <c r="L73" s="107"/>
      <c r="M73" s="412"/>
      <c r="N73" s="115"/>
    </row>
    <row r="74" spans="1:14" ht="112.95" customHeight="1" thickBot="1">
      <c r="A74" s="113"/>
      <c r="B74" s="410"/>
      <c r="C74" s="421" t="s">
        <v>705</v>
      </c>
      <c r="D74" s="1315" t="s">
        <v>1214</v>
      </c>
      <c r="E74" s="1318"/>
      <c r="F74" s="1318"/>
      <c r="G74" s="1318"/>
      <c r="H74" s="1318"/>
      <c r="I74" s="1318"/>
      <c r="J74" s="1318"/>
      <c r="K74" s="1318"/>
      <c r="L74" s="1319"/>
      <c r="M74" s="412"/>
      <c r="N74" s="115"/>
    </row>
    <row r="75" spans="1:14" ht="4.3499999999999996" customHeight="1" thickBot="1">
      <c r="A75" s="113"/>
      <c r="B75" s="410"/>
      <c r="C75" s="430"/>
      <c r="D75" s="414"/>
      <c r="E75" s="414"/>
      <c r="F75" s="414"/>
      <c r="G75" s="107"/>
      <c r="H75" s="107"/>
      <c r="I75" s="107"/>
      <c r="J75" s="107"/>
      <c r="K75" s="107"/>
      <c r="L75" s="107"/>
      <c r="M75" s="412"/>
      <c r="N75" s="115"/>
    </row>
    <row r="76" spans="1:14" ht="151.35" customHeight="1" thickBot="1">
      <c r="A76" s="113"/>
      <c r="B76" s="410"/>
      <c r="C76" s="417" t="s">
        <v>1121</v>
      </c>
      <c r="D76" s="1315" t="s">
        <v>759</v>
      </c>
      <c r="E76" s="1318"/>
      <c r="F76" s="1318"/>
      <c r="G76" s="1318"/>
      <c r="H76" s="1318"/>
      <c r="I76" s="1318"/>
      <c r="J76" s="1318"/>
      <c r="K76" s="1318"/>
      <c r="L76" s="1319"/>
      <c r="M76" s="412"/>
      <c r="N76" s="115"/>
    </row>
    <row r="77" spans="1:14" ht="4.3499999999999996" customHeight="1" thickBot="1">
      <c r="A77" s="113"/>
      <c r="B77" s="410"/>
      <c r="C77" s="430"/>
      <c r="D77" s="414"/>
      <c r="E77" s="414"/>
      <c r="F77" s="414"/>
      <c r="G77" s="107"/>
      <c r="H77" s="107"/>
      <c r="I77" s="107"/>
      <c r="J77" s="107"/>
      <c r="K77" s="107"/>
      <c r="L77" s="107"/>
      <c r="M77" s="412"/>
      <c r="N77" s="115"/>
    </row>
    <row r="78" spans="1:14" ht="134.4" customHeight="1" thickBot="1">
      <c r="A78" s="113"/>
      <c r="B78" s="410"/>
      <c r="C78" s="417" t="s">
        <v>1122</v>
      </c>
      <c r="D78" s="1315" t="s">
        <v>1213</v>
      </c>
      <c r="E78" s="1318"/>
      <c r="F78" s="1318"/>
      <c r="G78" s="1318"/>
      <c r="H78" s="1318"/>
      <c r="I78" s="1318"/>
      <c r="J78" s="1318"/>
      <c r="K78" s="1318"/>
      <c r="L78" s="1319"/>
      <c r="M78" s="412"/>
      <c r="N78" s="115"/>
    </row>
    <row r="79" spans="1:14" ht="4.2" customHeight="1" thickBot="1">
      <c r="A79" s="113"/>
      <c r="B79" s="410"/>
      <c r="C79" s="413"/>
      <c r="D79" s="414"/>
      <c r="E79" s="414"/>
      <c r="F79" s="414"/>
      <c r="G79" s="415"/>
      <c r="H79" s="107"/>
      <c r="I79" s="107"/>
      <c r="J79" s="107"/>
      <c r="K79" s="107"/>
      <c r="L79" s="107"/>
      <c r="M79" s="412"/>
      <c r="N79" s="115"/>
    </row>
    <row r="80" spans="1:14" ht="73.5" customHeight="1" thickBot="1">
      <c r="A80" s="113"/>
      <c r="B80" s="410"/>
      <c r="C80" s="421" t="s">
        <v>1123</v>
      </c>
      <c r="D80" s="1315" t="s">
        <v>758</v>
      </c>
      <c r="E80" s="1318"/>
      <c r="F80" s="1318"/>
      <c r="G80" s="1318"/>
      <c r="H80" s="1318"/>
      <c r="I80" s="1318"/>
      <c r="J80" s="1318"/>
      <c r="K80" s="1318"/>
      <c r="L80" s="1319"/>
      <c r="M80" s="412"/>
      <c r="N80" s="115"/>
    </row>
    <row r="81" spans="1:14" ht="4.2" customHeight="1" thickBot="1">
      <c r="A81" s="91"/>
      <c r="B81" s="431"/>
      <c r="D81" s="107"/>
      <c r="E81" s="107"/>
      <c r="F81" s="107"/>
      <c r="G81" s="414"/>
      <c r="H81" s="414"/>
      <c r="I81" s="414"/>
      <c r="J81" s="414"/>
      <c r="K81" s="414"/>
      <c r="L81" s="414"/>
      <c r="M81" s="412"/>
      <c r="N81" s="115"/>
    </row>
    <row r="82" spans="1:14" ht="125.4" customHeight="1" thickBot="1">
      <c r="A82" s="113"/>
      <c r="B82" s="410"/>
      <c r="C82" s="421" t="s">
        <v>1124</v>
      </c>
      <c r="D82" s="1315" t="s">
        <v>1212</v>
      </c>
      <c r="E82" s="1318"/>
      <c r="F82" s="1318"/>
      <c r="G82" s="1318"/>
      <c r="H82" s="1318"/>
      <c r="I82" s="1318"/>
      <c r="J82" s="1318"/>
      <c r="K82" s="1318"/>
      <c r="L82" s="1319"/>
      <c r="M82" s="412"/>
      <c r="N82" s="115"/>
    </row>
    <row r="83" spans="1:14" ht="4.2" customHeight="1" thickBot="1">
      <c r="A83" s="113"/>
      <c r="B83" s="410"/>
      <c r="C83" s="760"/>
      <c r="D83" s="756"/>
      <c r="E83" s="423"/>
      <c r="F83" s="423"/>
      <c r="G83" s="423"/>
      <c r="H83" s="423"/>
      <c r="I83" s="423"/>
      <c r="J83" s="423"/>
      <c r="K83" s="423"/>
      <c r="L83" s="423"/>
      <c r="M83" s="412"/>
      <c r="N83" s="115"/>
    </row>
    <row r="84" spans="1:14" ht="409.5" customHeight="1">
      <c r="A84" s="113"/>
      <c r="B84" s="410"/>
      <c r="C84" s="1304" t="s">
        <v>1211</v>
      </c>
      <c r="D84" s="1345" t="s">
        <v>1234</v>
      </c>
      <c r="E84" s="1346"/>
      <c r="F84" s="1346"/>
      <c r="G84" s="1346"/>
      <c r="H84" s="1346"/>
      <c r="I84" s="1346"/>
      <c r="J84" s="1346"/>
      <c r="K84" s="1346"/>
      <c r="L84" s="1347"/>
      <c r="M84" s="412"/>
      <c r="N84" s="115"/>
    </row>
    <row r="85" spans="1:14" ht="302.39999999999998" customHeight="1" thickBot="1">
      <c r="A85" s="113"/>
      <c r="B85" s="410"/>
      <c r="C85" s="1305"/>
      <c r="D85" s="1348"/>
      <c r="E85" s="1326"/>
      <c r="F85" s="1326"/>
      <c r="G85" s="1326"/>
      <c r="H85" s="1326"/>
      <c r="I85" s="1326"/>
      <c r="J85" s="1326"/>
      <c r="K85" s="1326"/>
      <c r="L85" s="1327"/>
      <c r="M85" s="412"/>
      <c r="N85" s="115"/>
    </row>
    <row r="86" spans="1:14" ht="4.3499999999999996" customHeight="1" thickBot="1">
      <c r="A86" s="113"/>
      <c r="B86" s="410"/>
      <c r="C86" s="430"/>
      <c r="D86" s="414"/>
      <c r="E86" s="414"/>
      <c r="F86" s="414"/>
      <c r="G86" s="107"/>
      <c r="H86" s="107"/>
      <c r="I86" s="107"/>
      <c r="J86" s="107"/>
      <c r="K86" s="107"/>
      <c r="L86" s="107"/>
      <c r="M86" s="412"/>
      <c r="N86" s="115"/>
    </row>
    <row r="87" spans="1:14" ht="92.4" customHeight="1" thickBot="1">
      <c r="A87" s="113"/>
      <c r="B87" s="410"/>
      <c r="C87" s="418" t="s">
        <v>162</v>
      </c>
      <c r="D87" s="1312" t="s">
        <v>975</v>
      </c>
      <c r="E87" s="1313"/>
      <c r="F87" s="1313"/>
      <c r="G87" s="1313"/>
      <c r="H87" s="1313"/>
      <c r="I87" s="1313"/>
      <c r="J87" s="1313"/>
      <c r="K87" s="1313"/>
      <c r="L87" s="1314"/>
      <c r="M87" s="412"/>
      <c r="N87" s="115"/>
    </row>
    <row r="88" spans="1:14" ht="6.75" customHeight="1" thickBot="1">
      <c r="A88" s="113"/>
      <c r="B88" s="432"/>
      <c r="C88" s="433"/>
      <c r="D88" s="434"/>
      <c r="E88" s="434"/>
      <c r="F88" s="434"/>
      <c r="G88" s="434"/>
      <c r="H88" s="434"/>
      <c r="I88" s="434"/>
      <c r="J88" s="434"/>
      <c r="K88" s="434"/>
      <c r="L88" s="434"/>
      <c r="M88" s="435"/>
      <c r="N88" s="115"/>
    </row>
    <row r="89" spans="1:14" ht="184.2" hidden="1" customHeight="1" thickTop="1">
      <c r="N89" s="115"/>
    </row>
    <row r="90" spans="1:14" hidden="1">
      <c r="N90" s="115"/>
    </row>
    <row r="91" spans="1:14" hidden="1">
      <c r="N91" s="91"/>
    </row>
    <row r="92" spans="1:14" hidden="1">
      <c r="N92" s="91"/>
    </row>
    <row r="93" spans="1:14" hidden="1">
      <c r="N93" s="91"/>
    </row>
    <row r="94" spans="1:14" hidden="1">
      <c r="N94" s="91"/>
    </row>
    <row r="95" spans="1:14" hidden="1">
      <c r="N95" s="91"/>
    </row>
    <row r="96" spans="1: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4:14" hidden="1">
      <c r="N161" s="91"/>
    </row>
    <row r="162" spans="14:14" hidden="1">
      <c r="N162" s="91"/>
    </row>
    <row r="163" spans="14:14" hidden="1">
      <c r="N163" s="91"/>
    </row>
    <row r="164" spans="14:14" hidden="1">
      <c r="N164" s="91"/>
    </row>
    <row r="165" spans="14:14" hidden="1">
      <c r="N165" s="91"/>
    </row>
    <row r="166" spans="14:14" hidden="1">
      <c r="N166" s="91"/>
    </row>
    <row r="167" spans="14:14" hidden="1">
      <c r="N167" s="91"/>
    </row>
    <row r="168" spans="14:14" hidden="1">
      <c r="N168" s="91"/>
    </row>
    <row r="169" spans="14:14" hidden="1">
      <c r="N169" s="91"/>
    </row>
    <row r="170" spans="14:14" hidden="1">
      <c r="N170" s="91"/>
    </row>
    <row r="171" spans="14:14" hidden="1">
      <c r="N171" s="91"/>
    </row>
    <row r="172" spans="14:14" hidden="1">
      <c r="N172" s="91"/>
    </row>
    <row r="173" spans="14:14" hidden="1">
      <c r="N173" s="91"/>
    </row>
    <row r="174" spans="14:14" hidden="1">
      <c r="N174" s="91"/>
    </row>
    <row r="175" spans="14:14" hidden="1">
      <c r="N175" s="91"/>
    </row>
    <row r="176" spans="14:14" hidden="1">
      <c r="N176" s="91"/>
    </row>
    <row r="177" spans="1:14" hidden="1">
      <c r="N177" s="91"/>
    </row>
    <row r="178" spans="1:14" hidden="1">
      <c r="N178" s="91"/>
    </row>
    <row r="179" spans="1:14" hidden="1">
      <c r="N179" s="91"/>
    </row>
    <row r="180" spans="1:14" hidden="1">
      <c r="N180" s="91"/>
    </row>
    <row r="181" spans="1:14" hidden="1">
      <c r="N181" s="91"/>
    </row>
    <row r="182" spans="1:14" hidden="1">
      <c r="N182" s="91"/>
    </row>
    <row r="183" spans="1:14" ht="184.2" hidden="1" customHeight="1">
      <c r="N183" s="91"/>
    </row>
    <row r="184" spans="1:14" ht="8.1" customHeight="1" thickTop="1">
      <c r="A184" s="113"/>
      <c r="B184" s="113"/>
      <c r="C184" s="114"/>
      <c r="D184" s="91"/>
      <c r="E184" s="91"/>
      <c r="F184" s="91"/>
      <c r="G184" s="91"/>
      <c r="H184" s="91"/>
      <c r="I184" s="91"/>
      <c r="J184" s="91"/>
      <c r="K184" s="91"/>
      <c r="L184" s="91"/>
      <c r="M184" s="91"/>
      <c r="N184" s="91"/>
    </row>
    <row r="185" spans="1:14"/>
    <row r="189" spans="1:14"/>
    <row r="190" spans="1:14"/>
    <row r="191" spans="1:14"/>
    <row r="192" spans="1:14"/>
    <row r="193"/>
  </sheetData>
  <sheetProtection algorithmName="SHA-512" hashValue="o4OAWQxFFUq1sgCiK22Xx44BozMXQbaqHVXHOwTh0eeGE7ob/DHwnijO0vXkeYhbU+BtWaoZwJuIrPCPk69uAw==" saltValue="NEGd/whAPp9eL5m5PlpBCA==" spinCount="100000" sheet="1" objects="1" scenarios="1"/>
  <mergeCells count="48">
    <mergeCell ref="D87:L87"/>
    <mergeCell ref="E60:F60"/>
    <mergeCell ref="D82:L82"/>
    <mergeCell ref="D78:L78"/>
    <mergeCell ref="D70:L70"/>
    <mergeCell ref="D72:L72"/>
    <mergeCell ref="D80:L80"/>
    <mergeCell ref="D74:L74"/>
    <mergeCell ref="D76:L76"/>
    <mergeCell ref="D84:L85"/>
    <mergeCell ref="D64:L64"/>
    <mergeCell ref="D66:L66"/>
    <mergeCell ref="D68:L68"/>
    <mergeCell ref="C49:C50"/>
    <mergeCell ref="D49:L50"/>
    <mergeCell ref="D56:L56"/>
    <mergeCell ref="D58:L58"/>
    <mergeCell ref="E59:F59"/>
    <mergeCell ref="C58:C62"/>
    <mergeCell ref="D52:L52"/>
    <mergeCell ref="G61:J61"/>
    <mergeCell ref="D54:L54"/>
    <mergeCell ref="I59:J59"/>
    <mergeCell ref="D32:L32"/>
    <mergeCell ref="D45:L45"/>
    <mergeCell ref="D41:L41"/>
    <mergeCell ref="D39:L39"/>
    <mergeCell ref="D26:L26"/>
    <mergeCell ref="D37:L37"/>
    <mergeCell ref="D34:L34"/>
    <mergeCell ref="D35:L35"/>
    <mergeCell ref="D43:L43"/>
    <mergeCell ref="C84:C85"/>
    <mergeCell ref="B2:M3"/>
    <mergeCell ref="D4:L4"/>
    <mergeCell ref="D8:L8"/>
    <mergeCell ref="D10:L10"/>
    <mergeCell ref="D12:L12"/>
    <mergeCell ref="D47:L47"/>
    <mergeCell ref="D14:L14"/>
    <mergeCell ref="D28:L28"/>
    <mergeCell ref="D6:L6"/>
    <mergeCell ref="D30:L30"/>
    <mergeCell ref="D20:L20"/>
    <mergeCell ref="D22:L22"/>
    <mergeCell ref="D24:L24"/>
    <mergeCell ref="D16:L16"/>
    <mergeCell ref="D18:L18"/>
  </mergeCells>
  <phoneticPr fontId="0" type="noConversion"/>
  <dataValidations disablePrompts="1" count="1">
    <dataValidation type="list" allowBlank="1" showInputMessage="1" showErrorMessage="1" sqref="G60 J60" xr:uid="{00000000-0002-0000-1F00-000000000000}">
      <formula1>"Million Gallons (US),Megalitres (thousand cubic metres),Acre-feet"</formula1>
    </dataValidation>
  </dataValidations>
  <hyperlinks>
    <hyperlink ref="D35" r:id="rId1" xr:uid="{B656FFF7-6DD4-43FB-825E-D732B1DCE1EF}"/>
  </hyperlinks>
  <pageMargins left="0.25" right="0.25" top="0.75" bottom="0.75" header="0.3" footer="0.3"/>
  <pageSetup scale="69" orientation="portrait" horizontalDpi="1200" r:id="rId2"/>
  <headerFooter alignWithMargins="0">
    <oddFooter>&amp;CAWWA Free Water Audit Software v6.0&amp;R&amp;A     &amp;P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workbookViewId="0">
      <pane ySplit="3" topLeftCell="A4" activePane="bottomLeft" state="frozen"/>
      <selection pane="bottomLeft" activeCell="A4" sqref="A4"/>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349" t="s">
        <v>141</v>
      </c>
      <c r="C2" s="1350"/>
      <c r="D2" s="1350"/>
      <c r="E2" s="1350"/>
      <c r="F2" s="1351"/>
      <c r="G2" s="111"/>
    </row>
    <row r="3" spans="1:7" ht="29.4" customHeight="1" thickBot="1">
      <c r="A3" s="111"/>
      <c r="B3" s="1352"/>
      <c r="C3" s="1353"/>
      <c r="D3" s="1353"/>
      <c r="E3" s="1353"/>
      <c r="F3" s="1354"/>
      <c r="G3" s="112"/>
    </row>
    <row r="4" spans="1:7" ht="36.75" customHeight="1" thickTop="1">
      <c r="A4" s="111"/>
      <c r="B4" s="436"/>
      <c r="C4" s="437"/>
      <c r="D4" s="5"/>
      <c r="E4" s="438" t="e">
        <f>IF(ISBLANK('Start Page'!#REF!),"","All Units in "&amp;'Start Page'!#REF!)</f>
        <v>#REF!</v>
      </c>
      <c r="F4" s="439"/>
      <c r="G4" s="112"/>
    </row>
    <row r="5" spans="1:7" ht="36.75" customHeight="1">
      <c r="A5" s="111"/>
      <c r="B5" s="436"/>
      <c r="C5" s="437"/>
      <c r="D5" s="5"/>
      <c r="E5" s="438"/>
      <c r="F5" s="439"/>
      <c r="G5" s="112"/>
    </row>
    <row r="6" spans="1:7" ht="36.75" customHeight="1">
      <c r="A6" s="111"/>
      <c r="B6" s="436"/>
      <c r="C6" s="437"/>
      <c r="D6" s="5"/>
      <c r="E6" s="438"/>
      <c r="F6" s="439"/>
      <c r="G6" s="112"/>
    </row>
    <row r="7" spans="1:7" ht="36.75" customHeight="1">
      <c r="A7" s="111"/>
      <c r="B7" s="436"/>
      <c r="C7" s="437"/>
      <c r="D7" s="5"/>
      <c r="E7" s="438"/>
      <c r="F7" s="439"/>
      <c r="G7" s="112"/>
    </row>
    <row r="8" spans="1:7" ht="36.75" customHeight="1">
      <c r="A8" s="111"/>
      <c r="B8" s="436"/>
      <c r="C8" s="437"/>
      <c r="D8" s="5"/>
      <c r="E8" s="438"/>
      <c r="F8" s="439"/>
      <c r="G8" s="112"/>
    </row>
    <row r="9" spans="1:7" ht="36.75" customHeight="1">
      <c r="A9" s="111"/>
      <c r="B9" s="436"/>
      <c r="C9" s="437"/>
      <c r="D9" s="5"/>
      <c r="E9" s="438"/>
      <c r="F9" s="439"/>
      <c r="G9" s="112"/>
    </row>
    <row r="10" spans="1:7" ht="36.75" customHeight="1">
      <c r="A10" s="111"/>
      <c r="B10" s="436"/>
      <c r="C10" s="437"/>
      <c r="D10" s="5"/>
      <c r="E10" s="438"/>
      <c r="F10" s="439"/>
      <c r="G10" s="112"/>
    </row>
    <row r="11" spans="1:7" ht="36.75" customHeight="1">
      <c r="A11" s="111"/>
      <c r="B11" s="436"/>
      <c r="C11" s="437"/>
      <c r="D11" s="5"/>
      <c r="E11" s="438"/>
      <c r="F11" s="439"/>
      <c r="G11" s="112"/>
    </row>
    <row r="12" spans="1:7" ht="36.75" customHeight="1">
      <c r="A12" s="111"/>
      <c r="B12" s="436"/>
      <c r="C12" s="437"/>
      <c r="D12" s="5"/>
      <c r="E12" s="438"/>
      <c r="F12" s="439"/>
      <c r="G12" s="112"/>
    </row>
    <row r="13" spans="1:7" ht="36.75" customHeight="1">
      <c r="A13" s="111"/>
      <c r="B13" s="436"/>
      <c r="C13" s="437"/>
      <c r="D13" s="5"/>
      <c r="E13" s="438"/>
      <c r="F13" s="439"/>
      <c r="G13" s="112"/>
    </row>
    <row r="14" spans="1:7" ht="36.75" customHeight="1">
      <c r="A14" s="111"/>
      <c r="B14" s="436"/>
      <c r="C14" s="437"/>
      <c r="D14" s="5"/>
      <c r="E14" s="438"/>
      <c r="F14" s="439"/>
      <c r="G14" s="112"/>
    </row>
    <row r="15" spans="1:7" ht="36.75" customHeight="1">
      <c r="A15" s="111"/>
      <c r="B15" s="436"/>
      <c r="C15" s="437"/>
      <c r="D15" s="5"/>
      <c r="E15" s="438"/>
      <c r="F15" s="439"/>
      <c r="G15" s="112"/>
    </row>
    <row r="16" spans="1:7" ht="36.75" customHeight="1">
      <c r="A16" s="111"/>
      <c r="B16" s="436"/>
      <c r="C16" s="437"/>
      <c r="D16" s="5"/>
      <c r="E16" s="438"/>
      <c r="F16" s="439"/>
      <c r="G16" s="112"/>
    </row>
    <row r="17" spans="1:7" ht="36.75" customHeight="1">
      <c r="A17" s="111"/>
      <c r="B17" s="436"/>
      <c r="C17" s="437"/>
      <c r="D17" s="5"/>
      <c r="E17" s="438"/>
      <c r="F17" s="439"/>
      <c r="G17" s="112"/>
    </row>
    <row r="18" spans="1:7" ht="36.75" customHeight="1">
      <c r="A18" s="111"/>
      <c r="B18" s="436"/>
      <c r="C18" s="437"/>
      <c r="D18" s="5"/>
      <c r="E18" s="438"/>
      <c r="F18" s="439"/>
      <c r="G18" s="112"/>
    </row>
    <row r="19" spans="1:7" ht="36.75" customHeight="1">
      <c r="A19" s="111"/>
      <c r="B19" s="436"/>
      <c r="C19" s="437"/>
      <c r="D19" s="5"/>
      <c r="E19" s="438"/>
      <c r="F19" s="439"/>
      <c r="G19" s="112"/>
    </row>
    <row r="20" spans="1:7" ht="36.75" customHeight="1">
      <c r="A20" s="111"/>
      <c r="B20" s="436"/>
      <c r="C20" s="437"/>
      <c r="D20" s="5"/>
      <c r="E20" s="438"/>
      <c r="F20" s="439"/>
      <c r="G20" s="112"/>
    </row>
    <row r="21" spans="1:7" ht="36.75" customHeight="1">
      <c r="A21" s="111"/>
      <c r="B21" s="436"/>
      <c r="C21" s="437"/>
      <c r="D21" s="5"/>
      <c r="E21" s="438"/>
      <c r="F21" s="439"/>
      <c r="G21" s="112"/>
    </row>
    <row r="22" spans="1:7" ht="36.75" customHeight="1">
      <c r="A22" s="111"/>
      <c r="B22" s="436"/>
      <c r="C22" s="437"/>
      <c r="D22" s="5"/>
      <c r="E22" s="438"/>
      <c r="F22" s="439"/>
      <c r="G22" s="112"/>
    </row>
    <row r="23" spans="1:7" ht="36.75" customHeight="1">
      <c r="A23" s="111"/>
      <c r="B23" s="436"/>
      <c r="C23" s="437"/>
      <c r="D23" s="5"/>
      <c r="E23" s="438"/>
      <c r="F23" s="439"/>
      <c r="G23" s="112"/>
    </row>
    <row r="24" spans="1:7" ht="5.25" customHeight="1" thickBot="1">
      <c r="A24" s="111"/>
      <c r="B24" s="440"/>
      <c r="C24" s="441"/>
      <c r="D24" s="442"/>
      <c r="E24" s="443"/>
      <c r="F24" s="444"/>
      <c r="G24" s="112"/>
    </row>
    <row r="25" spans="1:7" ht="14.4" hidden="1" thickTop="1"/>
  </sheetData>
  <sheetProtection algorithmName="SHA-512" hashValue="TROxqX9fGF9zXTrcRP9/fwp8B0o3QDuMqwhEQHyPm/DB+1Kc7myv7AjtsC+VePXWwm1tr+Qxrxv5Hs07JxUiRA==" saltValue="53OqsKrAOpl1VgJLCfagRA==" spinCount="100000"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8"/>
  <sheetViews>
    <sheetView showGridLines="0" showRowColHeaders="0" workbookViewId="0">
      <pane ySplit="2" topLeftCell="A3" activePane="bottomLeft" state="frozen"/>
      <selection pane="bottomLeft" activeCell="C33" sqref="C33"/>
    </sheetView>
  </sheetViews>
  <sheetFormatPr defaultColWidth="0" defaultRowHeight="0" customHeight="1" zeroHeight="1"/>
  <cols>
    <col min="1" max="1" width="1.44140625" style="3" customWidth="1"/>
    <col min="2" max="2" width="1.5546875" style="3" customWidth="1"/>
    <col min="3" max="3" width="19.6640625" style="1" customWidth="1"/>
    <col min="4" max="4" width="9.88671875" style="1" customWidth="1"/>
    <col min="5" max="5" width="13.5546875" style="1" customWidth="1"/>
    <col min="6" max="6" width="9.5546875" style="1" customWidth="1"/>
    <col min="7" max="17" width="8" style="1" customWidth="1"/>
    <col min="18" max="18" width="16.3320312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287" t="s">
        <v>779</v>
      </c>
      <c r="C2" s="1288"/>
      <c r="D2" s="1288"/>
      <c r="E2" s="1288"/>
      <c r="F2" s="1288"/>
      <c r="G2" s="1288"/>
      <c r="H2" s="1288"/>
      <c r="I2" s="1288"/>
      <c r="J2" s="1288"/>
      <c r="K2" s="1288"/>
      <c r="L2" s="1288"/>
      <c r="M2" s="1288"/>
      <c r="N2" s="1288"/>
      <c r="O2" s="1288"/>
      <c r="P2" s="1288"/>
      <c r="Q2" s="1288"/>
      <c r="R2" s="1288"/>
      <c r="S2" s="1289"/>
      <c r="T2" s="111"/>
    </row>
    <row r="3" spans="1:22" ht="8.25" customHeight="1" thickBot="1">
      <c r="A3" s="118"/>
      <c r="B3" s="396"/>
      <c r="C3" s="445"/>
      <c r="D3" s="445"/>
      <c r="E3" s="445"/>
      <c r="F3" s="445"/>
      <c r="S3" s="397"/>
      <c r="T3" s="111"/>
    </row>
    <row r="4" spans="1:22" s="46" customFormat="1" ht="79.5" customHeight="1" thickBot="1">
      <c r="A4" s="91"/>
      <c r="B4" s="431"/>
      <c r="C4" s="1368" t="s">
        <v>1290</v>
      </c>
      <c r="D4" s="1369"/>
      <c r="E4" s="1369"/>
      <c r="F4" s="1369"/>
      <c r="G4" s="1369"/>
      <c r="H4" s="1369"/>
      <c r="I4" s="1369"/>
      <c r="J4" s="1369"/>
      <c r="K4" s="1369"/>
      <c r="L4" s="1369"/>
      <c r="M4" s="1369"/>
      <c r="N4" s="1369"/>
      <c r="O4" s="1369"/>
      <c r="P4" s="1369"/>
      <c r="Q4" s="1369"/>
      <c r="R4" s="1370"/>
      <c r="S4" s="412"/>
      <c r="T4" s="91"/>
      <c r="U4" s="4"/>
      <c r="V4" s="4"/>
    </row>
    <row r="5" spans="1:22" s="46" customFormat="1" ht="7.5" customHeight="1" thickBot="1">
      <c r="A5" s="91"/>
      <c r="B5" s="431"/>
      <c r="C5" s="446"/>
      <c r="S5" s="412"/>
      <c r="T5" s="91"/>
      <c r="U5" s="4"/>
      <c r="V5" s="4"/>
    </row>
    <row r="6" spans="1:22" s="46" customFormat="1" ht="62.1" customHeight="1" thickBot="1">
      <c r="A6" s="91"/>
      <c r="B6" s="431"/>
      <c r="C6" s="1371" t="s">
        <v>231</v>
      </c>
      <c r="D6" s="1372"/>
      <c r="E6" s="1372"/>
      <c r="F6" s="1372"/>
      <c r="G6" s="1372"/>
      <c r="H6" s="1372"/>
      <c r="I6" s="1372"/>
      <c r="J6" s="1372"/>
      <c r="K6" s="1372"/>
      <c r="L6" s="1372"/>
      <c r="M6" s="1372"/>
      <c r="N6" s="1372"/>
      <c r="O6" s="1372"/>
      <c r="P6" s="1372"/>
      <c r="Q6" s="1372"/>
      <c r="R6" s="1373"/>
      <c r="S6" s="412"/>
      <c r="T6" s="91"/>
      <c r="U6" s="4"/>
      <c r="V6" s="4"/>
    </row>
    <row r="7" spans="1:22" s="46" customFormat="1" ht="8.25" customHeight="1" thickBot="1">
      <c r="A7" s="91"/>
      <c r="B7" s="431"/>
      <c r="C7" s="264"/>
      <c r="D7" s="264"/>
      <c r="E7" s="264"/>
      <c r="F7" s="264"/>
      <c r="S7" s="412"/>
      <c r="T7" s="91"/>
      <c r="U7" s="4"/>
      <c r="V7" s="4"/>
    </row>
    <row r="8" spans="1:22" s="46" customFormat="1" ht="15.6">
      <c r="A8" s="91"/>
      <c r="B8" s="431"/>
      <c r="C8" s="868" t="s">
        <v>28</v>
      </c>
      <c r="D8" s="869" t="s">
        <v>1195</v>
      </c>
      <c r="E8" s="447"/>
      <c r="F8" s="447" t="s">
        <v>1157</v>
      </c>
      <c r="G8" s="141"/>
      <c r="H8" s="869" t="s">
        <v>1155</v>
      </c>
      <c r="I8" s="141"/>
      <c r="J8" s="141"/>
      <c r="K8" s="141"/>
      <c r="L8" s="141"/>
      <c r="M8" s="141"/>
      <c r="N8" s="141"/>
      <c r="O8" s="141"/>
      <c r="P8" s="141"/>
      <c r="Q8" s="141"/>
      <c r="R8" s="154"/>
      <c r="S8" s="412"/>
      <c r="T8" s="91"/>
      <c r="U8" s="4"/>
      <c r="V8" s="4"/>
    </row>
    <row r="9" spans="1:22" s="46" customFormat="1" ht="15.6">
      <c r="A9" s="91"/>
      <c r="B9" s="431"/>
      <c r="C9" s="870"/>
      <c r="D9" s="247" t="s">
        <v>1158</v>
      </c>
      <c r="E9" s="247"/>
      <c r="H9" s="247" t="s">
        <v>1156</v>
      </c>
      <c r="I9" s="247"/>
      <c r="R9" s="146"/>
      <c r="S9" s="412"/>
      <c r="T9" s="91"/>
      <c r="U9" s="4"/>
      <c r="V9" s="4"/>
    </row>
    <row r="10" spans="1:22" s="46" customFormat="1" ht="15.6">
      <c r="A10" s="91"/>
      <c r="B10" s="431"/>
      <c r="C10" s="870"/>
      <c r="D10" s="247" t="s">
        <v>1159</v>
      </c>
      <c r="E10" s="247"/>
      <c r="H10" s="247" t="s">
        <v>1291</v>
      </c>
      <c r="I10" s="247"/>
      <c r="R10" s="146"/>
      <c r="S10" s="412"/>
      <c r="T10" s="91"/>
      <c r="U10" s="4"/>
      <c r="V10" s="4"/>
    </row>
    <row r="11" spans="1:22" s="46" customFormat="1" ht="15.6">
      <c r="A11" s="91"/>
      <c r="B11" s="431"/>
      <c r="C11" s="870"/>
      <c r="D11" s="247" t="s">
        <v>1194</v>
      </c>
      <c r="E11" s="247"/>
      <c r="H11" s="247" t="s">
        <v>1160</v>
      </c>
      <c r="I11" s="247"/>
      <c r="R11" s="146"/>
      <c r="S11" s="412"/>
      <c r="T11" s="91"/>
      <c r="U11" s="4"/>
      <c r="V11" s="4"/>
    </row>
    <row r="12" spans="1:22" s="46" customFormat="1" ht="15.6">
      <c r="A12" s="91"/>
      <c r="B12" s="431"/>
      <c r="C12" s="870"/>
      <c r="D12" s="247" t="s">
        <v>1193</v>
      </c>
      <c r="E12" s="247"/>
      <c r="H12" s="247" t="s">
        <v>1156</v>
      </c>
      <c r="I12" s="247"/>
      <c r="R12" s="146"/>
      <c r="S12" s="412"/>
      <c r="T12" s="91"/>
      <c r="U12" s="4"/>
      <c r="V12" s="4"/>
    </row>
    <row r="13" spans="1:22" s="46" customFormat="1" ht="15.6">
      <c r="A13" s="91"/>
      <c r="B13" s="431"/>
      <c r="C13" s="870"/>
      <c r="D13" s="247" t="s">
        <v>1312</v>
      </c>
      <c r="E13" s="247"/>
      <c r="H13" s="247" t="s">
        <v>1313</v>
      </c>
      <c r="I13" s="247"/>
      <c r="R13" s="146"/>
      <c r="S13" s="412"/>
      <c r="T13" s="91"/>
      <c r="U13" s="4"/>
      <c r="V13" s="4"/>
    </row>
    <row r="14" spans="1:22" s="46" customFormat="1" ht="6.6" customHeight="1">
      <c r="A14" s="91"/>
      <c r="B14" s="431"/>
      <c r="C14" s="448"/>
      <c r="D14" s="673"/>
      <c r="E14" s="673"/>
      <c r="F14" s="673"/>
      <c r="G14" s="673"/>
      <c r="H14" s="673"/>
      <c r="I14" s="247"/>
      <c r="R14" s="146"/>
      <c r="S14" s="412"/>
      <c r="T14" s="91"/>
      <c r="U14" s="4"/>
      <c r="V14" s="4"/>
    </row>
    <row r="15" spans="1:22" s="46" customFormat="1" ht="6" customHeight="1">
      <c r="A15" s="91"/>
      <c r="B15" s="431"/>
      <c r="C15" s="448"/>
      <c r="R15" s="146"/>
      <c r="S15" s="412"/>
      <c r="T15" s="91"/>
      <c r="U15" s="4"/>
      <c r="V15" s="4"/>
    </row>
    <row r="16" spans="1:22" s="46" customFormat="1" ht="13.5" customHeight="1">
      <c r="A16" s="91"/>
      <c r="B16" s="431"/>
      <c r="C16" s="448"/>
      <c r="D16" s="1386" t="s">
        <v>1161</v>
      </c>
      <c r="E16" s="1386"/>
      <c r="F16" s="1386"/>
      <c r="G16" s="1386"/>
      <c r="H16" s="1386"/>
      <c r="I16" s="1386"/>
      <c r="J16" s="1386"/>
      <c r="K16" s="1386"/>
      <c r="L16" s="1386"/>
      <c r="M16" s="1386"/>
      <c r="N16" s="1386"/>
      <c r="O16" s="1386"/>
      <c r="P16" s="1386"/>
      <c r="Q16" s="1386"/>
      <c r="R16" s="146"/>
      <c r="S16" s="412"/>
      <c r="T16" s="91"/>
      <c r="U16" s="4"/>
      <c r="V16" s="4"/>
    </row>
    <row r="17" spans="1:22" s="46" customFormat="1" ht="12.75" hidden="1" customHeight="1">
      <c r="A17" s="91"/>
      <c r="B17" s="431"/>
      <c r="C17" s="448"/>
      <c r="D17" s="1386"/>
      <c r="E17" s="1386"/>
      <c r="F17" s="1386"/>
      <c r="G17" s="1386"/>
      <c r="H17" s="1386"/>
      <c r="I17" s="1386"/>
      <c r="J17" s="1386"/>
      <c r="K17" s="1386"/>
      <c r="L17" s="1386"/>
      <c r="M17" s="1386"/>
      <c r="N17" s="1386"/>
      <c r="O17" s="1386"/>
      <c r="P17" s="1386"/>
      <c r="Q17" s="1386"/>
      <c r="R17" s="146"/>
      <c r="S17" s="412"/>
      <c r="T17" s="91"/>
      <c r="U17" s="4"/>
      <c r="V17" s="4"/>
    </row>
    <row r="18" spans="1:22" s="46" customFormat="1" ht="23.4" customHeight="1" thickBot="1">
      <c r="A18" s="91"/>
      <c r="B18" s="431"/>
      <c r="C18" s="449"/>
      <c r="D18" s="1387"/>
      <c r="E18" s="1387"/>
      <c r="F18" s="1387"/>
      <c r="G18" s="1387"/>
      <c r="H18" s="1387"/>
      <c r="I18" s="1387"/>
      <c r="J18" s="1387"/>
      <c r="K18" s="1387"/>
      <c r="L18" s="1387"/>
      <c r="M18" s="1387"/>
      <c r="N18" s="1387"/>
      <c r="O18" s="1387"/>
      <c r="P18" s="1387"/>
      <c r="Q18" s="1387"/>
      <c r="R18" s="450"/>
      <c r="S18" s="412"/>
      <c r="T18" s="91"/>
      <c r="U18" s="4"/>
      <c r="V18" s="4"/>
    </row>
    <row r="19" spans="1:22" s="46" customFormat="1" ht="8.25" customHeight="1" thickBot="1">
      <c r="A19" s="91"/>
      <c r="B19" s="431"/>
      <c r="S19" s="412"/>
      <c r="T19" s="91"/>
      <c r="U19" s="4"/>
      <c r="V19" s="4"/>
    </row>
    <row r="20" spans="1:22" s="46" customFormat="1" ht="13.5" customHeight="1">
      <c r="A20" s="91"/>
      <c r="B20" s="431"/>
      <c r="C20" s="855" t="s">
        <v>27</v>
      </c>
      <c r="D20" s="1366"/>
      <c r="E20" s="1366"/>
      <c r="F20" s="1366"/>
      <c r="G20" s="1366"/>
      <c r="H20" s="1366"/>
      <c r="I20" s="1366"/>
      <c r="J20" s="1366"/>
      <c r="K20" s="1366"/>
      <c r="L20" s="1366"/>
      <c r="M20" s="1366"/>
      <c r="N20" s="1366"/>
      <c r="O20" s="1366"/>
      <c r="P20" s="1366"/>
      <c r="Q20" s="1366"/>
      <c r="R20" s="1367"/>
      <c r="S20" s="412"/>
      <c r="T20" s="91"/>
      <c r="U20" s="4"/>
      <c r="V20" s="4"/>
    </row>
    <row r="21" spans="1:22" s="107" customFormat="1" ht="36.450000000000003" customHeight="1">
      <c r="A21" s="920"/>
      <c r="B21" s="921"/>
      <c r="C21" s="1374" t="s">
        <v>1246</v>
      </c>
      <c r="D21" s="1375"/>
      <c r="E21" s="1375"/>
      <c r="F21" s="1375"/>
      <c r="G21" s="1375"/>
      <c r="H21" s="1375"/>
      <c r="I21" s="1375"/>
      <c r="J21" s="1375"/>
      <c r="K21" s="1375"/>
      <c r="L21" s="1375"/>
      <c r="M21" s="1375"/>
      <c r="N21" s="1375"/>
      <c r="O21" s="1375"/>
      <c r="P21" s="1375"/>
      <c r="Q21" s="1375"/>
      <c r="R21" s="1376"/>
      <c r="S21" s="420"/>
      <c r="T21" s="920"/>
      <c r="U21" s="922"/>
      <c r="V21" s="922"/>
    </row>
    <row r="22" spans="1:22" s="107" customFormat="1" ht="15" customHeight="1">
      <c r="A22" s="920"/>
      <c r="B22" s="921"/>
      <c r="C22" s="1374" t="s">
        <v>1163</v>
      </c>
      <c r="D22" s="1375"/>
      <c r="E22" s="1375"/>
      <c r="F22" s="1375"/>
      <c r="G22" s="1375"/>
      <c r="H22" s="1375"/>
      <c r="I22" s="1375"/>
      <c r="J22" s="1375"/>
      <c r="K22" s="1375"/>
      <c r="L22" s="1375"/>
      <c r="M22" s="1375"/>
      <c r="N22" s="1375"/>
      <c r="O22" s="1375"/>
      <c r="P22" s="1375"/>
      <c r="Q22" s="1375"/>
      <c r="R22" s="1376"/>
      <c r="S22" s="420"/>
      <c r="T22" s="920"/>
      <c r="U22" s="922"/>
      <c r="V22" s="922"/>
    </row>
    <row r="23" spans="1:22" s="107" customFormat="1" ht="15" customHeight="1">
      <c r="A23" s="920"/>
      <c r="B23" s="921"/>
      <c r="C23" s="1374" t="s">
        <v>1164</v>
      </c>
      <c r="D23" s="1375"/>
      <c r="E23" s="1375"/>
      <c r="F23" s="1375"/>
      <c r="G23" s="1375"/>
      <c r="H23" s="1375"/>
      <c r="I23" s="1375"/>
      <c r="J23" s="1375"/>
      <c r="K23" s="1375"/>
      <c r="L23" s="1375"/>
      <c r="M23" s="1375"/>
      <c r="N23" s="1375"/>
      <c r="O23" s="1375"/>
      <c r="P23" s="1375"/>
      <c r="Q23" s="1375"/>
      <c r="R23" s="1376"/>
      <c r="S23" s="420"/>
      <c r="T23" s="920"/>
      <c r="U23" s="922"/>
      <c r="V23" s="922"/>
    </row>
    <row r="24" spans="1:22" s="107" customFormat="1" ht="15" customHeight="1">
      <c r="A24" s="920"/>
      <c r="B24" s="921"/>
      <c r="C24" s="1374" t="s">
        <v>1244</v>
      </c>
      <c r="D24" s="1375"/>
      <c r="E24" s="1375"/>
      <c r="F24" s="1375"/>
      <c r="G24" s="1375"/>
      <c r="H24" s="1375"/>
      <c r="I24" s="1375"/>
      <c r="J24" s="1375"/>
      <c r="K24" s="1375"/>
      <c r="L24" s="1375"/>
      <c r="M24" s="1375"/>
      <c r="N24" s="1375"/>
      <c r="O24" s="1375"/>
      <c r="P24" s="1375"/>
      <c r="Q24" s="1375"/>
      <c r="R24" s="1376"/>
      <c r="S24" s="420"/>
      <c r="T24" s="920"/>
      <c r="U24" s="922"/>
      <c r="V24" s="922"/>
    </row>
    <row r="25" spans="1:22" s="107" customFormat="1" ht="15" customHeight="1">
      <c r="A25" s="920"/>
      <c r="B25" s="921"/>
      <c r="C25" s="1374" t="s">
        <v>1245</v>
      </c>
      <c r="D25" s="1375"/>
      <c r="E25" s="1375"/>
      <c r="F25" s="1375"/>
      <c r="G25" s="1375"/>
      <c r="H25" s="1375"/>
      <c r="I25" s="1375"/>
      <c r="J25" s="1375"/>
      <c r="K25" s="1375"/>
      <c r="L25" s="1375"/>
      <c r="M25" s="1375"/>
      <c r="N25" s="1375"/>
      <c r="O25" s="1375"/>
      <c r="P25" s="1375"/>
      <c r="Q25" s="1375"/>
      <c r="R25" s="1376"/>
      <c r="S25" s="420"/>
      <c r="T25" s="920"/>
      <c r="U25" s="922"/>
      <c r="V25" s="922"/>
    </row>
    <row r="26" spans="1:22" s="107" customFormat="1" ht="15" customHeight="1">
      <c r="A26" s="920"/>
      <c r="B26" s="921"/>
      <c r="C26" s="1374" t="s">
        <v>1165</v>
      </c>
      <c r="D26" s="1375"/>
      <c r="E26" s="1375"/>
      <c r="F26" s="1375"/>
      <c r="G26" s="1375"/>
      <c r="H26" s="1375"/>
      <c r="I26" s="1375"/>
      <c r="J26" s="1375"/>
      <c r="K26" s="1375"/>
      <c r="L26" s="1375"/>
      <c r="M26" s="1375"/>
      <c r="N26" s="1375"/>
      <c r="O26" s="1375"/>
      <c r="P26" s="1375"/>
      <c r="Q26" s="1375"/>
      <c r="R26" s="1376"/>
      <c r="S26" s="420"/>
      <c r="T26" s="920"/>
      <c r="U26" s="922"/>
      <c r="V26" s="922"/>
    </row>
    <row r="27" spans="1:22" s="107" customFormat="1" ht="15" customHeight="1">
      <c r="A27" s="920"/>
      <c r="B27" s="921"/>
      <c r="C27" s="1374" t="s">
        <v>1166</v>
      </c>
      <c r="D27" s="1375"/>
      <c r="E27" s="1375"/>
      <c r="F27" s="1375"/>
      <c r="G27" s="1375"/>
      <c r="H27" s="1375"/>
      <c r="I27" s="1375"/>
      <c r="J27" s="1375"/>
      <c r="K27" s="1375"/>
      <c r="L27" s="1375"/>
      <c r="M27" s="1375"/>
      <c r="N27" s="1375"/>
      <c r="O27" s="1375"/>
      <c r="P27" s="1375"/>
      <c r="Q27" s="1375"/>
      <c r="R27" s="1376"/>
      <c r="S27" s="420"/>
      <c r="T27" s="920"/>
      <c r="U27" s="922"/>
      <c r="V27" s="922"/>
    </row>
    <row r="28" spans="1:22" s="107" customFormat="1" ht="19.5" customHeight="1">
      <c r="A28" s="920"/>
      <c r="B28" s="921"/>
      <c r="C28" s="1374" t="s">
        <v>1224</v>
      </c>
      <c r="D28" s="1375"/>
      <c r="E28" s="1375"/>
      <c r="F28" s="1375"/>
      <c r="G28" s="1375"/>
      <c r="H28" s="1375"/>
      <c r="I28" s="1375"/>
      <c r="J28" s="1375"/>
      <c r="K28" s="1375"/>
      <c r="L28" s="1375"/>
      <c r="M28" s="1375"/>
      <c r="N28" s="1375"/>
      <c r="O28" s="1375"/>
      <c r="P28" s="1375"/>
      <c r="Q28" s="1375"/>
      <c r="R28" s="1376"/>
      <c r="S28" s="420"/>
      <c r="T28" s="920"/>
      <c r="U28" s="922"/>
      <c r="V28" s="922"/>
    </row>
    <row r="29" spans="1:22" s="107" customFormat="1" ht="16.5" customHeight="1">
      <c r="A29" s="920"/>
      <c r="B29" s="921"/>
      <c r="C29" s="1388" t="s">
        <v>1225</v>
      </c>
      <c r="D29" s="1389"/>
      <c r="E29" s="1389"/>
      <c r="F29" s="1389"/>
      <c r="G29" s="1389"/>
      <c r="H29" s="1389"/>
      <c r="I29" s="1389"/>
      <c r="J29" s="1389"/>
      <c r="K29" s="1389"/>
      <c r="L29" s="1389"/>
      <c r="M29" s="1389"/>
      <c r="N29" s="1389"/>
      <c r="O29" s="1389"/>
      <c r="P29" s="1389"/>
      <c r="Q29" s="1389"/>
      <c r="R29" s="1390"/>
      <c r="S29" s="420"/>
      <c r="T29" s="920"/>
      <c r="U29" s="922"/>
      <c r="V29" s="922"/>
    </row>
    <row r="30" spans="1:22" s="107" customFormat="1" ht="15" customHeight="1">
      <c r="A30" s="920"/>
      <c r="B30" s="921"/>
      <c r="C30" s="1374" t="s">
        <v>1167</v>
      </c>
      <c r="D30" s="1375"/>
      <c r="E30" s="1375"/>
      <c r="F30" s="1375"/>
      <c r="G30" s="1375"/>
      <c r="H30" s="1375"/>
      <c r="I30" s="1375"/>
      <c r="J30" s="1375"/>
      <c r="K30" s="1375"/>
      <c r="L30" s="1375"/>
      <c r="M30" s="1375"/>
      <c r="N30" s="1375"/>
      <c r="O30" s="1375"/>
      <c r="P30" s="1375"/>
      <c r="Q30" s="1375"/>
      <c r="R30" s="1376"/>
      <c r="S30" s="420"/>
      <c r="T30" s="920"/>
      <c r="U30" s="922"/>
      <c r="V30" s="922"/>
    </row>
    <row r="31" spans="1:22" s="107" customFormat="1" ht="15" customHeight="1">
      <c r="A31" s="920"/>
      <c r="B31" s="921"/>
      <c r="C31" s="1383" t="s">
        <v>1329</v>
      </c>
      <c r="D31" s="1384"/>
      <c r="E31" s="1384"/>
      <c r="F31" s="1384"/>
      <c r="G31" s="1384"/>
      <c r="H31" s="1384"/>
      <c r="I31" s="1384"/>
      <c r="J31" s="1384"/>
      <c r="K31" s="1384"/>
      <c r="L31" s="1384"/>
      <c r="M31" s="1384"/>
      <c r="N31" s="1384"/>
      <c r="O31" s="1384"/>
      <c r="P31" s="1384"/>
      <c r="Q31" s="1384"/>
      <c r="R31" s="1385"/>
      <c r="S31" s="420"/>
      <c r="T31" s="920"/>
      <c r="U31" s="922"/>
      <c r="V31" s="922"/>
    </row>
    <row r="32" spans="1:22" s="107" customFormat="1" ht="27.6" customHeight="1" thickBot="1">
      <c r="A32" s="920"/>
      <c r="B32" s="921"/>
      <c r="C32" s="1377" t="s">
        <v>1330</v>
      </c>
      <c r="D32" s="1378"/>
      <c r="E32" s="1378"/>
      <c r="F32" s="1378"/>
      <c r="G32" s="1378"/>
      <c r="H32" s="1378"/>
      <c r="I32" s="1378"/>
      <c r="J32" s="1378"/>
      <c r="K32" s="1378"/>
      <c r="L32" s="1378"/>
      <c r="M32" s="1378"/>
      <c r="N32" s="1378"/>
      <c r="O32" s="1378"/>
      <c r="P32" s="1378"/>
      <c r="Q32" s="1378"/>
      <c r="R32" s="1379"/>
      <c r="S32" s="420"/>
      <c r="T32" s="920"/>
      <c r="U32" s="922"/>
      <c r="V32" s="922"/>
    </row>
    <row r="33" spans="1:22" s="46" customFormat="1" ht="8.25" customHeight="1" thickBot="1">
      <c r="A33" s="91"/>
      <c r="B33" s="431"/>
      <c r="S33" s="412"/>
      <c r="T33" s="91"/>
      <c r="U33" s="4"/>
      <c r="V33" s="4"/>
    </row>
    <row r="34" spans="1:22" s="46" customFormat="1" ht="24" customHeight="1">
      <c r="A34" s="91"/>
      <c r="B34" s="431"/>
      <c r="C34" s="856" t="s">
        <v>236</v>
      </c>
      <c r="D34" s="451"/>
      <c r="E34" s="451"/>
      <c r="F34" s="451"/>
      <c r="G34" s="451"/>
      <c r="H34" s="451"/>
      <c r="I34" s="451"/>
      <c r="J34" s="451"/>
      <c r="K34" s="451"/>
      <c r="L34" s="451"/>
      <c r="M34" s="451"/>
      <c r="N34" s="451"/>
      <c r="O34" s="451"/>
      <c r="P34" s="451"/>
      <c r="Q34" s="451"/>
      <c r="R34" s="452"/>
      <c r="S34" s="412"/>
      <c r="T34" s="91"/>
      <c r="U34" s="4"/>
      <c r="V34" s="4"/>
    </row>
    <row r="35" spans="1:22" s="46" customFormat="1" ht="38.1" customHeight="1">
      <c r="A35" s="91"/>
      <c r="B35" s="431"/>
      <c r="C35" s="453" t="s">
        <v>246</v>
      </c>
      <c r="D35" s="454" t="s">
        <v>245</v>
      </c>
      <c r="E35" s="454" t="s">
        <v>247</v>
      </c>
      <c r="F35" s="1359" t="s">
        <v>250</v>
      </c>
      <c r="G35" s="1360"/>
      <c r="H35" s="1360"/>
      <c r="I35" s="1360"/>
      <c r="J35" s="1360"/>
      <c r="K35" s="1360"/>
      <c r="L35" s="1360"/>
      <c r="M35" s="1360"/>
      <c r="N35" s="1360"/>
      <c r="O35" s="1360"/>
      <c r="P35" s="1360"/>
      <c r="Q35" s="1360"/>
      <c r="R35" s="1361"/>
      <c r="S35" s="412"/>
      <c r="T35" s="91"/>
      <c r="U35" s="4"/>
      <c r="V35" s="4"/>
    </row>
    <row r="36" spans="1:22" s="46" customFormat="1" ht="35.1" customHeight="1">
      <c r="A36" s="91"/>
      <c r="B36" s="431"/>
      <c r="C36" s="455" t="s">
        <v>237</v>
      </c>
      <c r="D36" s="456" t="s">
        <v>248</v>
      </c>
      <c r="E36" s="457">
        <v>5</v>
      </c>
      <c r="F36" s="1362" t="s">
        <v>242</v>
      </c>
      <c r="G36" s="1363"/>
      <c r="H36" s="1363"/>
      <c r="I36" s="1363"/>
      <c r="J36" s="1363"/>
      <c r="K36" s="1363"/>
      <c r="L36" s="1363"/>
      <c r="M36" s="1363"/>
      <c r="N36" s="1363"/>
      <c r="O36" s="1363"/>
      <c r="P36" s="1363"/>
      <c r="Q36" s="1363"/>
      <c r="R36" s="1364"/>
      <c r="S36" s="412"/>
      <c r="T36" s="91"/>
      <c r="U36" s="4"/>
      <c r="V36" s="4"/>
    </row>
    <row r="37" spans="1:22" s="46" customFormat="1" ht="47.4" customHeight="1">
      <c r="A37" s="91"/>
      <c r="B37" s="431"/>
      <c r="C37" s="455" t="s">
        <v>238</v>
      </c>
      <c r="D37" s="457">
        <v>2006</v>
      </c>
      <c r="E37" s="457">
        <v>5</v>
      </c>
      <c r="F37" s="1362" t="s">
        <v>243</v>
      </c>
      <c r="G37" s="1363"/>
      <c r="H37" s="1363"/>
      <c r="I37" s="1363"/>
      <c r="J37" s="1363"/>
      <c r="K37" s="1363"/>
      <c r="L37" s="1363"/>
      <c r="M37" s="1363"/>
      <c r="N37" s="1363"/>
      <c r="O37" s="1363"/>
      <c r="P37" s="1363"/>
      <c r="Q37" s="1363"/>
      <c r="R37" s="1364"/>
      <c r="S37" s="412"/>
      <c r="T37" s="91"/>
      <c r="U37" s="4"/>
      <c r="V37" s="4"/>
    </row>
    <row r="38" spans="1:22" s="46" customFormat="1" ht="59.4" customHeight="1">
      <c r="A38" s="91"/>
      <c r="B38" s="431"/>
      <c r="C38" s="455" t="s">
        <v>239</v>
      </c>
      <c r="D38" s="457">
        <v>2007</v>
      </c>
      <c r="E38" s="457">
        <v>7</v>
      </c>
      <c r="F38" s="1362" t="s">
        <v>244</v>
      </c>
      <c r="G38" s="1363"/>
      <c r="H38" s="1363"/>
      <c r="I38" s="1363"/>
      <c r="J38" s="1363"/>
      <c r="K38" s="1363"/>
      <c r="L38" s="1363"/>
      <c r="M38" s="1363"/>
      <c r="N38" s="1363"/>
      <c r="O38" s="1363"/>
      <c r="P38" s="1363"/>
      <c r="Q38" s="1363"/>
      <c r="R38" s="1364"/>
      <c r="S38" s="412"/>
      <c r="T38" s="91"/>
      <c r="U38" s="4"/>
      <c r="V38" s="4"/>
    </row>
    <row r="39" spans="1:22" s="46" customFormat="1" ht="126.75" customHeight="1">
      <c r="A39" s="91"/>
      <c r="B39" s="431"/>
      <c r="C39" s="455" t="s">
        <v>240</v>
      </c>
      <c r="D39" s="457">
        <v>2010</v>
      </c>
      <c r="E39" s="457">
        <v>10</v>
      </c>
      <c r="F39" s="1365" t="s">
        <v>251</v>
      </c>
      <c r="G39" s="1363"/>
      <c r="H39" s="1363"/>
      <c r="I39" s="1363"/>
      <c r="J39" s="1363"/>
      <c r="K39" s="1363"/>
      <c r="L39" s="1363"/>
      <c r="M39" s="1363"/>
      <c r="N39" s="1363"/>
      <c r="O39" s="1363"/>
      <c r="P39" s="1363"/>
      <c r="Q39" s="1363"/>
      <c r="R39" s="1364"/>
      <c r="S39" s="412"/>
      <c r="T39" s="91"/>
      <c r="U39" s="4"/>
      <c r="V39" s="4"/>
    </row>
    <row r="40" spans="1:22" s="46" customFormat="1" ht="110.4" customHeight="1">
      <c r="A40" s="91"/>
      <c r="B40" s="431"/>
      <c r="C40" s="1009" t="s">
        <v>241</v>
      </c>
      <c r="D40" s="1010">
        <v>2014</v>
      </c>
      <c r="E40" s="1010">
        <v>12</v>
      </c>
      <c r="F40" s="1356" t="s">
        <v>249</v>
      </c>
      <c r="G40" s="1357"/>
      <c r="H40" s="1357"/>
      <c r="I40" s="1357"/>
      <c r="J40" s="1357"/>
      <c r="K40" s="1357"/>
      <c r="L40" s="1357"/>
      <c r="M40" s="1357"/>
      <c r="N40" s="1357"/>
      <c r="O40" s="1357"/>
      <c r="P40" s="1357"/>
      <c r="Q40" s="1357"/>
      <c r="R40" s="1358"/>
      <c r="S40" s="412"/>
      <c r="T40" s="91"/>
      <c r="U40" s="4"/>
      <c r="V40" s="4"/>
    </row>
    <row r="41" spans="1:22" s="46" customFormat="1" ht="166.5" customHeight="1">
      <c r="A41" s="91"/>
      <c r="B41" s="431"/>
      <c r="C41" s="455" t="s">
        <v>654</v>
      </c>
      <c r="D41" s="1011">
        <v>2020</v>
      </c>
      <c r="E41" s="1012">
        <v>11</v>
      </c>
      <c r="F41" s="1380" t="s">
        <v>1162</v>
      </c>
      <c r="G41" s="1381"/>
      <c r="H41" s="1381"/>
      <c r="I41" s="1381"/>
      <c r="J41" s="1381"/>
      <c r="K41" s="1381"/>
      <c r="L41" s="1381"/>
      <c r="M41" s="1381"/>
      <c r="N41" s="1381"/>
      <c r="O41" s="1381"/>
      <c r="P41" s="1381"/>
      <c r="Q41" s="1381"/>
      <c r="R41" s="1382"/>
      <c r="S41" s="412"/>
      <c r="T41" s="91"/>
      <c r="U41" s="4"/>
      <c r="V41" s="4"/>
    </row>
    <row r="42" spans="1:22" s="46" customFormat="1" ht="84.75" customHeight="1" thickBot="1">
      <c r="A42" s="91"/>
      <c r="B42" s="431"/>
      <c r="C42" s="1008" t="s">
        <v>1311</v>
      </c>
      <c r="D42" s="458">
        <v>2025</v>
      </c>
      <c r="E42" s="459">
        <v>13</v>
      </c>
      <c r="F42" s="1355" t="s">
        <v>1314</v>
      </c>
      <c r="G42" s="1334"/>
      <c r="H42" s="1334"/>
      <c r="I42" s="1334"/>
      <c r="J42" s="1334"/>
      <c r="K42" s="1334"/>
      <c r="L42" s="1334"/>
      <c r="M42" s="1334"/>
      <c r="N42" s="1334"/>
      <c r="O42" s="1334"/>
      <c r="P42" s="1334"/>
      <c r="Q42" s="1334"/>
      <c r="R42" s="1335"/>
      <c r="S42" s="412"/>
      <c r="T42" s="91"/>
      <c r="U42" s="4"/>
      <c r="V42" s="4"/>
    </row>
    <row r="43" spans="1:22" s="46" customFormat="1" ht="17.399999999999999" customHeight="1">
      <c r="A43" s="91"/>
      <c r="B43" s="431"/>
      <c r="C43" s="252"/>
      <c r="D43" s="252"/>
      <c r="E43" s="252"/>
      <c r="F43" s="252"/>
      <c r="G43" s="252"/>
      <c r="H43" s="252"/>
      <c r="I43" s="252"/>
      <c r="J43" s="252"/>
      <c r="K43" s="252"/>
      <c r="L43" s="252" t="s">
        <v>142</v>
      </c>
      <c r="M43" s="253" t="s">
        <v>80</v>
      </c>
      <c r="N43" s="252"/>
      <c r="O43" s="252"/>
      <c r="P43" s="252"/>
      <c r="Q43" s="252"/>
      <c r="R43" s="252"/>
      <c r="S43" s="412"/>
      <c r="T43" s="91"/>
      <c r="U43" s="4"/>
      <c r="V43" s="4"/>
    </row>
    <row r="44" spans="1:22" ht="6" customHeight="1" thickBot="1">
      <c r="A44" s="118"/>
      <c r="B44" s="407"/>
      <c r="C44" s="408"/>
      <c r="D44" s="408"/>
      <c r="E44" s="408"/>
      <c r="F44" s="408"/>
      <c r="G44" s="408"/>
      <c r="H44" s="408"/>
      <c r="I44" s="408"/>
      <c r="J44" s="408"/>
      <c r="K44" s="408"/>
      <c r="L44" s="408"/>
      <c r="M44" s="408"/>
      <c r="N44" s="408"/>
      <c r="O44" s="408"/>
      <c r="P44" s="408"/>
      <c r="Q44" s="408"/>
      <c r="R44" s="408"/>
      <c r="S44" s="409"/>
      <c r="T44" s="111"/>
    </row>
    <row r="45" spans="1:22" ht="6" customHeight="1" thickTop="1">
      <c r="A45" s="118"/>
      <c r="B45" s="118"/>
      <c r="C45" s="111"/>
      <c r="D45" s="111"/>
      <c r="E45" s="111"/>
      <c r="F45" s="111"/>
      <c r="G45" s="111"/>
      <c r="H45" s="111"/>
      <c r="I45" s="111"/>
      <c r="J45" s="111"/>
      <c r="K45" s="111"/>
      <c r="L45" s="111"/>
      <c r="M45" s="111"/>
      <c r="N45" s="111"/>
      <c r="O45" s="111"/>
      <c r="P45" s="111"/>
      <c r="Q45" s="111"/>
      <c r="R45" s="111"/>
      <c r="S45" s="119"/>
      <c r="T45" s="111"/>
    </row>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5" hidden="1" customHeight="1"/>
  </sheetData>
  <sheetProtection algorithmName="SHA-512" hashValue="vuVOmBcZj+n7iiSlrQN+egykZ1q4gBTioN9lLFBlN0pg1sYgR5AksyoLaYDNlN1pXT6c8EjbRLkGBfQLObC6Qw==" saltValue="w1lbaGEaXX7mILy4VwdwzA==" spinCount="100000" sheet="1" objects="1" scenarios="1"/>
  <mergeCells count="25">
    <mergeCell ref="C31:R31"/>
    <mergeCell ref="C30:R30"/>
    <mergeCell ref="D16:Q18"/>
    <mergeCell ref="C22:R22"/>
    <mergeCell ref="C29:R29"/>
    <mergeCell ref="C24:R24"/>
    <mergeCell ref="C25:R25"/>
    <mergeCell ref="C26:R26"/>
    <mergeCell ref="C27:R27"/>
    <mergeCell ref="F42:R42"/>
    <mergeCell ref="B2:S2"/>
    <mergeCell ref="F40:R40"/>
    <mergeCell ref="F35:R35"/>
    <mergeCell ref="F36:R36"/>
    <mergeCell ref="F37:R37"/>
    <mergeCell ref="F38:R38"/>
    <mergeCell ref="F39:R39"/>
    <mergeCell ref="D20:R20"/>
    <mergeCell ref="C4:R4"/>
    <mergeCell ref="C6:R6"/>
    <mergeCell ref="C21:R21"/>
    <mergeCell ref="C23:R23"/>
    <mergeCell ref="C32:R32"/>
    <mergeCell ref="C28:R28"/>
    <mergeCell ref="F41:R41"/>
  </mergeCells>
  <phoneticPr fontId="0" type="noConversion"/>
  <hyperlinks>
    <hyperlink ref="M43"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2"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workbookViewId="0">
      <selection activeCell="F27" sqref="F27"/>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354</v>
      </c>
      <c r="E1" s="175" t="s">
        <v>310</v>
      </c>
      <c r="F1" s="175"/>
    </row>
    <row r="2" spans="2:7">
      <c r="B2" s="174" t="s">
        <v>25</v>
      </c>
      <c r="C2" s="174" t="s">
        <v>339</v>
      </c>
    </row>
    <row r="3" spans="2:7">
      <c r="B3" s="174" t="s">
        <v>311</v>
      </c>
      <c r="C3" s="544" t="s">
        <v>355</v>
      </c>
      <c r="D3" s="544" t="s">
        <v>356</v>
      </c>
      <c r="E3" s="544" t="s">
        <v>357</v>
      </c>
      <c r="F3" s="544" t="s">
        <v>358</v>
      </c>
    </row>
    <row r="4" spans="2:7" ht="26.4">
      <c r="B4" s="174" t="s">
        <v>270</v>
      </c>
      <c r="C4" s="174" t="s">
        <v>359</v>
      </c>
      <c r="D4" s="174" t="s">
        <v>720</v>
      </c>
      <c r="E4" s="174" t="s">
        <v>326</v>
      </c>
      <c r="F4" s="174" t="s">
        <v>360</v>
      </c>
    </row>
    <row r="5" spans="2:7" ht="39.6">
      <c r="B5" s="174" t="s">
        <v>280</v>
      </c>
      <c r="C5" s="174" t="s">
        <v>361</v>
      </c>
      <c r="D5" s="544" t="s">
        <v>1069</v>
      </c>
      <c r="E5" s="544" t="s">
        <v>718</v>
      </c>
      <c r="F5" s="174" t="s">
        <v>362</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361</v>
      </c>
    </row>
    <row r="35" spans="2:2">
      <c r="B35" s="176" t="s">
        <v>1069</v>
      </c>
    </row>
    <row r="36" spans="2:2">
      <c r="B36" s="176" t="s">
        <v>718</v>
      </c>
    </row>
    <row r="37" spans="2:2">
      <c r="B37" t="s">
        <v>362</v>
      </c>
    </row>
    <row r="39" spans="2:2">
      <c r="B39" s="176"/>
    </row>
    <row r="40" spans="2:2">
      <c r="B40" s="176"/>
    </row>
  </sheetData>
  <sheetProtection algorithmName="SHA-512" hashValue="9y2K1Dfc9GWCi8ZRu7QWDVb7pLkq5cdE+NPCTQbR2smGijcxVssE/coEbjkT4X3iayI5LwKhbpEzTgV2QG6Tew==" saltValue="iDlET0mo2toVRCst+52YO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topLeftCell="A5" workbookViewId="0">
      <selection activeCell="D16" sqref="D16"/>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15</v>
      </c>
      <c r="C1" s="136"/>
      <c r="D1" s="166" t="s">
        <v>289</v>
      </c>
      <c r="E1" s="166"/>
      <c r="F1" s="160"/>
      <c r="G1" s="136"/>
      <c r="H1" s="136"/>
      <c r="I1" s="172" t="s">
        <v>310</v>
      </c>
      <c r="J1" s="136"/>
      <c r="K1" s="136"/>
      <c r="L1" s="136"/>
      <c r="M1" s="136"/>
      <c r="N1" s="136"/>
      <c r="O1" s="136"/>
      <c r="P1" s="136"/>
      <c r="Q1" s="136"/>
      <c r="R1" s="136"/>
    </row>
    <row r="2" spans="2:18">
      <c r="B2" s="159" t="s">
        <v>25</v>
      </c>
      <c r="C2" s="136" t="s">
        <v>457</v>
      </c>
      <c r="D2" s="136"/>
      <c r="E2" s="136"/>
      <c r="F2" s="136"/>
      <c r="G2" s="136"/>
      <c r="H2" s="136"/>
      <c r="I2" s="136"/>
      <c r="J2" s="136"/>
      <c r="K2" s="136"/>
      <c r="L2" s="136"/>
      <c r="M2" s="136"/>
      <c r="N2" s="136"/>
      <c r="O2" s="136"/>
      <c r="P2" s="136"/>
      <c r="Q2" s="136"/>
      <c r="R2" s="136"/>
    </row>
    <row r="3" spans="2:18">
      <c r="B3" s="137" t="s">
        <v>311</v>
      </c>
      <c r="C3" s="137" t="s">
        <v>373</v>
      </c>
      <c r="D3" s="137" t="s">
        <v>374</v>
      </c>
      <c r="E3" s="137" t="s">
        <v>375</v>
      </c>
      <c r="F3" s="137" t="s">
        <v>376</v>
      </c>
      <c r="G3" s="137" t="s">
        <v>377</v>
      </c>
      <c r="H3" s="137" t="s">
        <v>378</v>
      </c>
      <c r="I3" s="137" t="s">
        <v>379</v>
      </c>
      <c r="J3" s="137" t="s">
        <v>380</v>
      </c>
      <c r="K3" s="137" t="s">
        <v>381</v>
      </c>
      <c r="L3" s="137" t="s">
        <v>807</v>
      </c>
      <c r="M3" s="137"/>
      <c r="N3" s="137"/>
      <c r="O3" s="137"/>
      <c r="P3" s="137"/>
      <c r="Q3" s="137"/>
      <c r="R3" s="137"/>
    </row>
    <row r="4" spans="2:18" ht="39.6">
      <c r="B4" s="170" t="s">
        <v>270</v>
      </c>
      <c r="C4" s="170" t="s">
        <v>389</v>
      </c>
      <c r="D4" s="170" t="s">
        <v>272</v>
      </c>
      <c r="E4" s="170"/>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390</v>
      </c>
      <c r="D5" s="138" t="s">
        <v>801</v>
      </c>
      <c r="E5" s="138" t="s">
        <v>789</v>
      </c>
      <c r="F5" s="138" t="s">
        <v>282</v>
      </c>
      <c r="G5" s="138" t="s">
        <v>790</v>
      </c>
      <c r="H5" s="138" t="s">
        <v>283</v>
      </c>
      <c r="I5" s="138" t="s">
        <v>981</v>
      </c>
      <c r="J5" s="138" t="s">
        <v>791</v>
      </c>
      <c r="K5" s="138" t="s">
        <v>804</v>
      </c>
      <c r="L5" s="138" t="s">
        <v>808</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457</v>
      </c>
      <c r="C34" s="164"/>
      <c r="D34" s="164"/>
      <c r="E34" s="164"/>
      <c r="F34" s="164"/>
      <c r="G34" s="164"/>
      <c r="H34" s="164"/>
      <c r="I34" s="164"/>
      <c r="J34" s="164"/>
      <c r="K34" s="164"/>
      <c r="L34" s="164"/>
      <c r="M34" s="164"/>
      <c r="N34" s="164"/>
      <c r="O34" s="164"/>
      <c r="P34" s="164"/>
      <c r="Q34" s="164"/>
      <c r="R34" s="164"/>
    </row>
    <row r="35" spans="1:18">
      <c r="B35" s="176" t="s">
        <v>390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dPe2Ge2U5nDTJ1/97JFV7MkDTAmUEroKQUIySCV38BijaZ3plSBfDh6KonjIMJ0jNvi/67DTGSeihg+zKvDNJA==" saltValue="Anck396/geadpzgB+PZt2w==" spinCount="100000" sheet="1" objects="1" scenarios="1"/>
  <conditionalFormatting sqref="D92:E92 G92 C93 F93 H93:I93">
    <cfRule type="expression" dxfId="195"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F29" sqref="F29"/>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391</v>
      </c>
      <c r="E1" s="175" t="s">
        <v>310</v>
      </c>
      <c r="F1" s="175"/>
    </row>
    <row r="2" spans="2:7">
      <c r="B2" s="174" t="s">
        <v>25</v>
      </c>
      <c r="C2" s="174" t="s">
        <v>388</v>
      </c>
    </row>
    <row r="3" spans="2:7">
      <c r="B3" s="108" t="s">
        <v>311</v>
      </c>
      <c r="C3" s="108" t="s">
        <v>383</v>
      </c>
      <c r="D3" s="108" t="s">
        <v>384</v>
      </c>
      <c r="E3" s="108" t="s">
        <v>385</v>
      </c>
      <c r="F3" s="108" t="s">
        <v>386</v>
      </c>
    </row>
    <row r="4" spans="2:7" ht="26.4">
      <c r="B4" s="108" t="s">
        <v>270</v>
      </c>
      <c r="C4" s="108" t="s">
        <v>359</v>
      </c>
      <c r="D4" s="174" t="s">
        <v>720</v>
      </c>
      <c r="E4" s="108" t="s">
        <v>326</v>
      </c>
      <c r="F4" s="108" t="s">
        <v>360</v>
      </c>
    </row>
    <row r="5" spans="2:7" ht="39.6">
      <c r="B5" s="174" t="s">
        <v>280</v>
      </c>
      <c r="C5" s="174" t="s">
        <v>392</v>
      </c>
      <c r="D5" s="544" t="s">
        <v>1069</v>
      </c>
      <c r="E5" s="544" t="s">
        <v>718</v>
      </c>
      <c r="F5" s="544" t="s">
        <v>883</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392</v>
      </c>
    </row>
    <row r="35" spans="2:2">
      <c r="B35" s="176" t="s">
        <v>1069</v>
      </c>
    </row>
    <row r="36" spans="2:2">
      <c r="B36" s="176" t="s">
        <v>718</v>
      </c>
    </row>
    <row r="37" spans="2:2">
      <c r="B37" s="158" t="s">
        <v>883</v>
      </c>
    </row>
    <row r="39" spans="2:2">
      <c r="B39" s="176"/>
    </row>
    <row r="40" spans="2:2">
      <c r="B40" s="176"/>
    </row>
  </sheetData>
  <sheetProtection algorithmName="SHA-512" hashValue="h8VfIkOCQA5ZLLaeuxedEcE54qINhU9JSANpOaO8pZ7SIBSeYEKmwQp+/mpRPk7fCBDODK9nl1kBa3TaB3JuGw==" saltValue="cpSg1m97/ErWH5+9myqrv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topLeftCell="A9" workbookViewId="0">
      <selection activeCell="I33" sqref="I3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514</v>
      </c>
      <c r="C1" s="180"/>
      <c r="D1" s="181"/>
      <c r="E1" s="181"/>
      <c r="F1" s="182"/>
      <c r="G1" s="182"/>
      <c r="H1" s="182"/>
      <c r="I1" s="182"/>
    </row>
    <row r="2" spans="1:10">
      <c r="A2" s="158" t="s">
        <v>263</v>
      </c>
      <c r="B2" s="178" t="s">
        <v>25</v>
      </c>
      <c r="C2" s="750" t="s">
        <v>881</v>
      </c>
      <c r="D2" s="181"/>
      <c r="E2" s="181"/>
      <c r="F2" s="182"/>
      <c r="G2" s="182"/>
      <c r="H2" s="182"/>
      <c r="I2" s="182"/>
    </row>
    <row r="3" spans="1:10">
      <c r="A3" s="158" t="s">
        <v>256</v>
      </c>
      <c r="B3" s="183" t="s">
        <v>311</v>
      </c>
      <c r="C3" s="184" t="s">
        <v>396</v>
      </c>
      <c r="D3" s="184" t="s">
        <v>397</v>
      </c>
      <c r="E3" s="184" t="s">
        <v>398</v>
      </c>
      <c r="F3" s="184" t="s">
        <v>399</v>
      </c>
      <c r="G3" s="184" t="s">
        <v>400</v>
      </c>
      <c r="H3" s="184" t="s">
        <v>401</v>
      </c>
      <c r="I3" s="184" t="s">
        <v>402</v>
      </c>
    </row>
    <row r="4" spans="1:10" ht="26.4">
      <c r="B4" s="185" t="s">
        <v>270</v>
      </c>
      <c r="C4" s="751" t="s">
        <v>403</v>
      </c>
      <c r="D4" s="751" t="s">
        <v>404</v>
      </c>
      <c r="E4" s="751" t="s">
        <v>405</v>
      </c>
      <c r="F4" s="751" t="s">
        <v>406</v>
      </c>
      <c r="G4" s="751"/>
      <c r="H4" s="751" t="s">
        <v>407</v>
      </c>
      <c r="I4" s="751"/>
    </row>
    <row r="5" spans="1:10" ht="92.4">
      <c r="B5" s="752" t="s">
        <v>280</v>
      </c>
      <c r="C5" s="753" t="s">
        <v>721</v>
      </c>
      <c r="D5" s="754" t="s">
        <v>815</v>
      </c>
      <c r="E5" s="753" t="s">
        <v>525</v>
      </c>
      <c r="F5" s="753" t="s">
        <v>816</v>
      </c>
      <c r="G5" s="754" t="s">
        <v>408</v>
      </c>
      <c r="H5" s="754" t="s">
        <v>817</v>
      </c>
      <c r="I5" s="754" t="s">
        <v>818</v>
      </c>
    </row>
    <row r="6" spans="1:10">
      <c r="B6" s="179">
        <v>1</v>
      </c>
      <c r="C6" s="755" t="s">
        <v>424</v>
      </c>
      <c r="D6" s="755"/>
      <c r="E6" s="755"/>
      <c r="F6" s="756" t="s">
        <v>819</v>
      </c>
      <c r="G6" s="756" t="s">
        <v>819</v>
      </c>
      <c r="H6" s="755"/>
      <c r="I6" s="755"/>
      <c r="J6">
        <v>1</v>
      </c>
    </row>
    <row r="7" spans="1:10">
      <c r="B7" s="179">
        <v>2</v>
      </c>
      <c r="C7" s="756"/>
      <c r="D7" s="755"/>
      <c r="E7" s="755"/>
      <c r="F7" s="755"/>
      <c r="G7" s="755"/>
      <c r="H7" s="755"/>
      <c r="I7" s="755"/>
      <c r="J7">
        <v>2</v>
      </c>
    </row>
    <row r="8" spans="1:10">
      <c r="B8" s="179">
        <v>3</v>
      </c>
      <c r="C8" s="755" t="s">
        <v>425</v>
      </c>
      <c r="D8" s="755"/>
      <c r="E8" s="755"/>
      <c r="F8" s="755"/>
      <c r="G8" s="755"/>
      <c r="H8" s="755"/>
      <c r="I8" s="755"/>
      <c r="J8">
        <v>3</v>
      </c>
    </row>
    <row r="9" spans="1:10" ht="25.5" customHeight="1">
      <c r="B9" s="179">
        <v>4</v>
      </c>
      <c r="C9" s="756"/>
      <c r="D9" s="755"/>
      <c r="E9" s="755"/>
      <c r="F9" s="756"/>
      <c r="G9" s="756"/>
      <c r="H9" s="755"/>
      <c r="I9" s="756"/>
      <c r="J9">
        <v>4</v>
      </c>
    </row>
    <row r="10" spans="1:10" ht="26.4">
      <c r="B10" s="179">
        <v>5</v>
      </c>
      <c r="C10" s="755" t="s">
        <v>426</v>
      </c>
      <c r="D10" s="755"/>
      <c r="E10" s="755"/>
      <c r="F10" s="755" t="s">
        <v>416</v>
      </c>
      <c r="G10" s="755"/>
      <c r="H10" s="756" t="s">
        <v>887</v>
      </c>
      <c r="I10" s="756" t="s">
        <v>329</v>
      </c>
      <c r="J10">
        <v>5</v>
      </c>
    </row>
    <row r="11" spans="1:10">
      <c r="B11" s="179">
        <v>6</v>
      </c>
      <c r="C11" s="756"/>
      <c r="D11" s="755" t="s">
        <v>409</v>
      </c>
      <c r="E11" s="755"/>
      <c r="F11" s="756"/>
      <c r="G11" s="757"/>
      <c r="H11" s="755"/>
      <c r="I11" s="755"/>
      <c r="J11">
        <v>6</v>
      </c>
    </row>
    <row r="12" spans="1:10">
      <c r="B12" s="179">
        <v>7</v>
      </c>
      <c r="C12" s="755" t="s">
        <v>439</v>
      </c>
      <c r="D12" s="755" t="s">
        <v>411</v>
      </c>
      <c r="E12" s="755"/>
      <c r="G12" s="756" t="s">
        <v>969</v>
      </c>
      <c r="H12" s="755"/>
      <c r="I12" s="755"/>
      <c r="J12">
        <v>7</v>
      </c>
    </row>
    <row r="13" spans="1:10">
      <c r="B13" s="179">
        <v>8</v>
      </c>
      <c r="C13" s="755"/>
      <c r="D13" s="755" t="s">
        <v>412</v>
      </c>
      <c r="E13" s="755" t="s">
        <v>263</v>
      </c>
      <c r="F13" s="755" t="s">
        <v>265</v>
      </c>
      <c r="G13" s="758"/>
      <c r="H13" s="755"/>
      <c r="J13">
        <v>8</v>
      </c>
    </row>
    <row r="14" spans="1:10" ht="39.6">
      <c r="B14" s="179">
        <v>9</v>
      </c>
      <c r="C14" s="755"/>
      <c r="D14" s="755" t="s">
        <v>264</v>
      </c>
      <c r="E14" s="755"/>
      <c r="F14" s="755" t="s">
        <v>417</v>
      </c>
      <c r="G14" s="759" t="s">
        <v>968</v>
      </c>
      <c r="H14" s="756" t="s">
        <v>415</v>
      </c>
      <c r="I14" s="756" t="s">
        <v>888</v>
      </c>
      <c r="J14">
        <v>9</v>
      </c>
    </row>
    <row r="15" spans="1:10" ht="66">
      <c r="B15" s="179">
        <v>10</v>
      </c>
      <c r="C15" s="756" t="s">
        <v>653</v>
      </c>
      <c r="D15" s="755" t="s">
        <v>413</v>
      </c>
      <c r="E15" s="755" t="s">
        <v>256</v>
      </c>
      <c r="F15" s="756" t="s">
        <v>418</v>
      </c>
      <c r="G15" s="759" t="s">
        <v>971</v>
      </c>
      <c r="H15" s="755" t="s">
        <v>414</v>
      </c>
      <c r="I15" s="756" t="s">
        <v>722</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C6</f>
        <v>&gt;50%</v>
      </c>
      <c r="D23" s="182" t="str">
        <f>D11</f>
        <v>Less frequenty than quarterly</v>
      </c>
      <c r="E23" s="182" t="s">
        <v>263</v>
      </c>
      <c r="F23" s="182" t="str">
        <f>F6</f>
        <v>No review</v>
      </c>
      <c r="G23" s="182" t="str">
        <f>G6</f>
        <v>No review</v>
      </c>
      <c r="H23" t="s">
        <v>887</v>
      </c>
      <c r="I23" s="158" t="s">
        <v>329</v>
      </c>
    </row>
    <row r="24" spans="2:15">
      <c r="B24" s="165"/>
      <c r="C24" s="182" t="str">
        <f>C8</f>
        <v>&gt;20% up to 50%</v>
      </c>
      <c r="D24" s="182" t="str">
        <f>D12</f>
        <v>Quarterly</v>
      </c>
      <c r="E24" s="182" t="s">
        <v>256</v>
      </c>
      <c r="F24" s="182" t="str">
        <f>F10</f>
        <v>Less frequently than annually</v>
      </c>
      <c r="G24" s="182" t="str">
        <f>G12</f>
        <v>Sum total only</v>
      </c>
      <c r="H24" t="s">
        <v>415</v>
      </c>
      <c r="I24" t="s">
        <v>888</v>
      </c>
    </row>
    <row r="25" spans="2:15">
      <c r="B25" s="165"/>
      <c r="C25" s="182" t="str">
        <f>C10</f>
        <v>&gt;10% up to 20%</v>
      </c>
      <c r="D25" s="182" t="str">
        <f>D13</f>
        <v>Bi-Monthly</v>
      </c>
      <c r="E25" s="182"/>
      <c r="F25" s="182" t="str">
        <f>F13</f>
        <v>Annually</v>
      </c>
      <c r="G25" t="str">
        <f>G14</f>
        <v>Totals grouped by use type or customer class</v>
      </c>
      <c r="H25" t="s">
        <v>414</v>
      </c>
      <c r="I25" t="s">
        <v>722</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t="s">
        <v>881</v>
      </c>
      <c r="C34" s="183"/>
      <c r="D34" s="183"/>
      <c r="E34" s="183"/>
      <c r="F34" s="183"/>
      <c r="G34" s="183"/>
      <c r="H34" s="183"/>
      <c r="I34" s="183"/>
    </row>
    <row r="35" spans="2:9">
      <c r="B35" s="176" t="s">
        <v>721</v>
      </c>
      <c r="C35" s="183"/>
      <c r="D35" s="183"/>
      <c r="E35" s="183"/>
      <c r="F35" s="183"/>
      <c r="G35" s="183"/>
      <c r="H35" s="183"/>
      <c r="I35" s="183"/>
    </row>
    <row r="36" spans="2:9">
      <c r="B36" s="176" t="s">
        <v>815</v>
      </c>
      <c r="C36" s="183"/>
      <c r="D36" s="183"/>
      <c r="E36" s="183"/>
      <c r="F36" s="183"/>
      <c r="G36" s="183"/>
      <c r="H36" s="183"/>
      <c r="I36" s="183"/>
    </row>
    <row r="37" spans="2:9">
      <c r="B37" s="176" t="s">
        <v>525</v>
      </c>
      <c r="C37" s="183"/>
      <c r="D37" s="183"/>
      <c r="E37" s="183"/>
      <c r="F37" s="183"/>
      <c r="G37" s="183"/>
      <c r="H37" s="183"/>
      <c r="I37" s="183"/>
    </row>
    <row r="38" spans="2:9">
      <c r="B38" s="176" t="s">
        <v>816</v>
      </c>
      <c r="C38" s="183"/>
      <c r="D38" s="183"/>
      <c r="E38" s="183"/>
      <c r="F38" s="183"/>
      <c r="G38" s="183"/>
      <c r="H38" s="183"/>
      <c r="I38" s="183"/>
    </row>
    <row r="39" spans="2:9">
      <c r="B39" s="176" t="s">
        <v>408</v>
      </c>
      <c r="C39" s="183"/>
      <c r="D39" s="183"/>
      <c r="E39" s="183"/>
      <c r="F39" s="183"/>
      <c r="G39" s="183"/>
      <c r="H39" s="183"/>
      <c r="I39" s="183"/>
    </row>
    <row r="40" spans="2:9">
      <c r="B40" s="176" t="s">
        <v>817</v>
      </c>
      <c r="C40" s="183"/>
      <c r="D40" s="183"/>
      <c r="E40" s="183"/>
      <c r="F40" s="183"/>
      <c r="G40" s="183"/>
      <c r="H40" s="183"/>
      <c r="I40" s="183"/>
    </row>
    <row r="41" spans="2:9">
      <c r="B41" s="176" t="s">
        <v>818</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algorithmName="SHA-512" hashValue="YxBW0zB11tuTeHmtBdu4culw64AF1wg4suoNH7mYxLi6+CAt2UycjybI3NZKR5X4sKdUpkSannFm/KI828PbLg==" saltValue="4KCwk+ZjbOZKhsB1QY4dE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workbookViewId="0"/>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419</v>
      </c>
      <c r="C1" s="188"/>
      <c r="D1" s="189"/>
      <c r="E1" s="188"/>
      <c r="F1" s="182"/>
      <c r="G1" s="182"/>
      <c r="H1" s="182"/>
      <c r="I1" s="182"/>
    </row>
    <row r="2" spans="2:9">
      <c r="B2" s="53" t="s">
        <v>25</v>
      </c>
      <c r="C2" s="158" t="s">
        <v>929</v>
      </c>
      <c r="D2" s="158"/>
      <c r="E2" s="158"/>
      <c r="F2" s="182"/>
      <c r="G2" s="182"/>
      <c r="H2" s="182"/>
      <c r="I2" s="182"/>
    </row>
    <row r="3" spans="2:9">
      <c r="B3" s="612" t="s">
        <v>311</v>
      </c>
      <c r="C3" s="612" t="s">
        <v>429</v>
      </c>
      <c r="D3" s="612" t="s">
        <v>430</v>
      </c>
      <c r="E3" s="612" t="s">
        <v>431</v>
      </c>
      <c r="F3" s="184"/>
      <c r="G3" s="184"/>
      <c r="H3" s="184"/>
      <c r="I3" s="184"/>
    </row>
    <row r="4" spans="2:9" ht="26.4">
      <c r="B4" s="200" t="s">
        <v>270</v>
      </c>
      <c r="C4" s="760" t="s">
        <v>420</v>
      </c>
      <c r="D4" s="760" t="s">
        <v>421</v>
      </c>
      <c r="E4" s="760" t="s">
        <v>422</v>
      </c>
      <c r="F4" s="185"/>
      <c r="H4" s="185"/>
    </row>
    <row r="5" spans="2:9" ht="52.8">
      <c r="B5" s="200" t="s">
        <v>280</v>
      </c>
      <c r="C5" s="576" t="s">
        <v>423</v>
      </c>
      <c r="D5" s="576" t="s">
        <v>821</v>
      </c>
      <c r="E5" s="576" t="s">
        <v>822</v>
      </c>
      <c r="F5" s="184"/>
      <c r="G5" s="184"/>
      <c r="H5" s="184"/>
      <c r="I5" s="184"/>
    </row>
    <row r="6" spans="2:9">
      <c r="B6" s="422">
        <v>1</v>
      </c>
      <c r="C6" s="756"/>
      <c r="D6" s="756" t="s">
        <v>491</v>
      </c>
      <c r="E6" s="756"/>
      <c r="F6" s="179">
        <v>1</v>
      </c>
      <c r="H6" s="185"/>
    </row>
    <row r="7" spans="2:9" ht="92.4">
      <c r="B7" s="422">
        <v>2</v>
      </c>
      <c r="C7" s="756"/>
      <c r="D7" s="756" t="s">
        <v>964</v>
      </c>
      <c r="E7" s="756" t="s">
        <v>265</v>
      </c>
      <c r="F7" s="179">
        <v>2</v>
      </c>
      <c r="G7" s="184"/>
      <c r="H7" s="184"/>
      <c r="I7" s="184"/>
    </row>
    <row r="8" spans="2:9">
      <c r="B8" s="422">
        <v>3</v>
      </c>
      <c r="C8" s="756"/>
      <c r="D8" s="612"/>
      <c r="E8" s="756"/>
      <c r="F8" s="179">
        <v>3</v>
      </c>
      <c r="H8" s="185"/>
    </row>
    <row r="9" spans="2:9">
      <c r="B9" s="422">
        <v>4</v>
      </c>
      <c r="C9" s="756"/>
      <c r="D9" s="756"/>
      <c r="E9" s="756" t="s">
        <v>427</v>
      </c>
      <c r="F9" s="179">
        <v>4</v>
      </c>
      <c r="G9" s="184"/>
      <c r="H9" s="184"/>
      <c r="I9" s="184"/>
    </row>
    <row r="10" spans="2:9" ht="79.2">
      <c r="B10" s="422">
        <v>5</v>
      </c>
      <c r="C10" s="756" t="s">
        <v>424</v>
      </c>
      <c r="D10" s="756" t="s">
        <v>724</v>
      </c>
      <c r="E10" s="763"/>
      <c r="F10" s="179">
        <v>5</v>
      </c>
      <c r="H10" s="185"/>
    </row>
    <row r="11" spans="2:9">
      <c r="B11" s="422">
        <v>6</v>
      </c>
      <c r="C11" s="756" t="s">
        <v>425</v>
      </c>
      <c r="D11" s="612"/>
      <c r="E11" s="756" t="s">
        <v>411</v>
      </c>
      <c r="F11" s="179">
        <v>6</v>
      </c>
      <c r="G11" s="184"/>
      <c r="H11" s="184"/>
      <c r="I11" s="184"/>
    </row>
    <row r="12" spans="2:9">
      <c r="B12" s="422">
        <v>7</v>
      </c>
      <c r="C12" s="756"/>
      <c r="D12" s="756"/>
      <c r="E12" s="763"/>
      <c r="F12" s="179">
        <v>7</v>
      </c>
      <c r="H12" s="185"/>
    </row>
    <row r="13" spans="2:9">
      <c r="B13" s="422">
        <v>8</v>
      </c>
      <c r="C13" s="756" t="s">
        <v>426</v>
      </c>
      <c r="D13" s="756"/>
      <c r="E13" s="756" t="s">
        <v>428</v>
      </c>
      <c r="F13" s="179">
        <v>8</v>
      </c>
      <c r="G13" s="184"/>
      <c r="H13" s="184"/>
      <c r="I13" s="184"/>
    </row>
    <row r="14" spans="2:9">
      <c r="B14" s="422">
        <v>9</v>
      </c>
      <c r="C14" s="756" t="s">
        <v>439</v>
      </c>
      <c r="D14" s="756"/>
      <c r="E14" s="756"/>
      <c r="F14" s="179">
        <v>9</v>
      </c>
      <c r="H14" s="185"/>
    </row>
    <row r="15" spans="2:9" ht="79.2">
      <c r="B15" s="422">
        <v>10</v>
      </c>
      <c r="C15" s="756" t="s">
        <v>653</v>
      </c>
      <c r="D15" s="756" t="s">
        <v>723</v>
      </c>
      <c r="E15" s="756" t="s">
        <v>264</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s="176" t="s">
        <v>929</v>
      </c>
      <c r="C34" s="183"/>
      <c r="D34" s="183"/>
      <c r="E34" s="183"/>
      <c r="F34" s="183"/>
      <c r="G34" s="183"/>
      <c r="H34" s="183"/>
      <c r="I34" s="183"/>
    </row>
    <row r="35" spans="2:9">
      <c r="B35" s="176" t="s">
        <v>423</v>
      </c>
      <c r="C35" s="183"/>
      <c r="D35" s="183"/>
      <c r="E35" s="183"/>
      <c r="F35" s="183"/>
      <c r="G35" s="183"/>
      <c r="H35" s="183"/>
      <c r="I35" s="183"/>
    </row>
    <row r="36" spans="2:9">
      <c r="B36" s="176" t="s">
        <v>821</v>
      </c>
      <c r="C36" s="183"/>
      <c r="D36" s="183"/>
      <c r="E36" s="183"/>
      <c r="F36" s="183"/>
      <c r="G36" s="183"/>
      <c r="H36" s="183"/>
      <c r="I36" s="183"/>
    </row>
    <row r="37" spans="2:9">
      <c r="B37" s="176" t="s">
        <v>822</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algorithmName="SHA-512" hashValue="visSkk1rt+c14mt5hQGkR7uXheNVVOa0GoAZlXtip9DSirXqs8rM+MgpEH00MTSfNLflYLz5cY3IjwsDoOLCgw==" saltValue="hEd6QyR6XdfG/aXjoSXR8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workbookViewId="0"/>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440</v>
      </c>
      <c r="C1" s="189"/>
      <c r="D1" s="188"/>
      <c r="E1" s="182"/>
      <c r="F1" s="182"/>
      <c r="G1" s="182"/>
      <c r="H1" s="182"/>
    </row>
    <row r="2" spans="2:8">
      <c r="B2" s="178" t="s">
        <v>25</v>
      </c>
      <c r="C2" s="158" t="s">
        <v>455</v>
      </c>
      <c r="D2" s="182"/>
      <c r="E2" s="182"/>
      <c r="F2" s="182"/>
      <c r="G2" s="182"/>
      <c r="H2" s="182"/>
    </row>
    <row r="3" spans="2:8">
      <c r="B3" s="193" t="s">
        <v>311</v>
      </c>
      <c r="C3" s="192" t="s">
        <v>448</v>
      </c>
      <c r="D3" s="192" t="s">
        <v>449</v>
      </c>
      <c r="E3" s="192" t="s">
        <v>450</v>
      </c>
      <c r="F3" s="192" t="s">
        <v>451</v>
      </c>
      <c r="G3" s="193"/>
      <c r="H3" s="193"/>
    </row>
    <row r="4" spans="2:8" ht="26.4">
      <c r="B4" s="185" t="s">
        <v>270</v>
      </c>
      <c r="C4" s="760" t="s">
        <v>441</v>
      </c>
      <c r="D4" s="760" t="s">
        <v>442</v>
      </c>
      <c r="E4" s="200" t="s">
        <v>404</v>
      </c>
      <c r="F4" s="108" t="s">
        <v>443</v>
      </c>
      <c r="G4" s="194"/>
    </row>
    <row r="5" spans="2:8" ht="79.2">
      <c r="B5" s="185" t="s">
        <v>444</v>
      </c>
      <c r="C5" s="761" t="s">
        <v>445</v>
      </c>
      <c r="D5" s="761" t="s">
        <v>446</v>
      </c>
      <c r="E5" s="184" t="s">
        <v>823</v>
      </c>
      <c r="F5" s="184" t="s">
        <v>447</v>
      </c>
      <c r="G5" s="193"/>
      <c r="H5" s="193"/>
    </row>
    <row r="6" spans="2:8">
      <c r="B6" s="195">
        <v>1</v>
      </c>
      <c r="C6" s="755"/>
      <c r="D6" s="755"/>
      <c r="F6" s="174"/>
      <c r="G6" s="195">
        <v>1</v>
      </c>
    </row>
    <row r="7" spans="2:8">
      <c r="B7" s="195">
        <v>2</v>
      </c>
      <c r="C7" s="755" t="s">
        <v>263</v>
      </c>
      <c r="D7" s="755" t="s">
        <v>452</v>
      </c>
      <c r="E7" s="756"/>
      <c r="F7" s="184" t="s">
        <v>453</v>
      </c>
      <c r="G7" s="195">
        <v>2</v>
      </c>
      <c r="H7" s="193"/>
    </row>
    <row r="8" spans="2:8">
      <c r="B8" s="195">
        <v>3</v>
      </c>
      <c r="C8" s="184"/>
      <c r="D8" s="755"/>
      <c r="E8" s="756"/>
      <c r="F8" s="174"/>
      <c r="G8" s="195">
        <v>3</v>
      </c>
    </row>
    <row r="9" spans="2:8" ht="52.8">
      <c r="B9" s="195">
        <v>4</v>
      </c>
      <c r="C9" s="755" t="s">
        <v>726</v>
      </c>
      <c r="D9" s="755"/>
      <c r="G9" s="195">
        <v>4</v>
      </c>
      <c r="H9" s="193"/>
    </row>
    <row r="10" spans="2:8">
      <c r="B10" s="195">
        <v>5</v>
      </c>
      <c r="C10" s="758"/>
      <c r="D10" s="763"/>
      <c r="E10" s="756" t="s">
        <v>725</v>
      </c>
      <c r="F10" s="184" t="s">
        <v>725</v>
      </c>
      <c r="G10" s="195">
        <v>5</v>
      </c>
    </row>
    <row r="11" spans="2:8" ht="26.4">
      <c r="B11" s="195">
        <v>6</v>
      </c>
      <c r="C11" s="184"/>
      <c r="D11" s="755" t="s">
        <v>727</v>
      </c>
      <c r="G11" s="195">
        <v>6</v>
      </c>
      <c r="H11" s="193"/>
    </row>
    <row r="12" spans="2:8">
      <c r="B12" s="195">
        <v>7</v>
      </c>
      <c r="C12" s="758"/>
      <c r="D12" s="764"/>
      <c r="E12" s="756" t="s">
        <v>265</v>
      </c>
      <c r="F12" s="184" t="s">
        <v>265</v>
      </c>
      <c r="G12" s="195">
        <v>7</v>
      </c>
    </row>
    <row r="13" spans="2:8" ht="39.6">
      <c r="B13" s="195">
        <v>8</v>
      </c>
      <c r="C13" s="755"/>
      <c r="D13" s="755"/>
      <c r="E13" s="756" t="s">
        <v>411</v>
      </c>
      <c r="F13" s="612" t="s">
        <v>728</v>
      </c>
      <c r="G13" s="195">
        <v>8</v>
      </c>
      <c r="H13" s="193"/>
    </row>
    <row r="14" spans="2:8">
      <c r="B14" s="195">
        <v>9</v>
      </c>
      <c r="C14" s="755"/>
      <c r="D14" s="755"/>
      <c r="E14" s="756" t="s">
        <v>412</v>
      </c>
      <c r="F14" s="174"/>
      <c r="G14" s="195">
        <v>9</v>
      </c>
    </row>
    <row r="15" spans="2:8" ht="26.4">
      <c r="B15" s="195">
        <v>10</v>
      </c>
      <c r="C15" s="755" t="s">
        <v>729</v>
      </c>
      <c r="D15" s="755" t="s">
        <v>730</v>
      </c>
      <c r="E15" s="756" t="s">
        <v>824</v>
      </c>
      <c r="F15" s="612" t="s">
        <v>731</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455</v>
      </c>
      <c r="C34" s="182"/>
      <c r="D34" s="182"/>
      <c r="E34" s="182"/>
      <c r="F34" s="182"/>
      <c r="G34" s="182"/>
      <c r="H34" s="182"/>
    </row>
    <row r="35" spans="2:8">
      <c r="B35" s="176" t="s">
        <v>445</v>
      </c>
      <c r="C35" s="182"/>
      <c r="D35" s="182"/>
      <c r="E35" s="182"/>
      <c r="F35" s="182"/>
      <c r="G35" s="182"/>
      <c r="H35" s="182"/>
    </row>
    <row r="36" spans="2:8">
      <c r="B36" s="176" t="s">
        <v>446</v>
      </c>
      <c r="C36" s="182"/>
      <c r="D36" s="182"/>
      <c r="E36" s="182"/>
      <c r="F36" s="182"/>
      <c r="G36" s="182"/>
      <c r="H36" s="182"/>
    </row>
    <row r="37" spans="2:8">
      <c r="B37" s="176" t="s">
        <v>823</v>
      </c>
      <c r="C37" s="182"/>
      <c r="D37" s="182"/>
      <c r="E37" s="182"/>
      <c r="F37" s="182"/>
      <c r="G37" s="182"/>
      <c r="H37" s="182"/>
    </row>
    <row r="38" spans="2:8">
      <c r="B38" s="176" t="s">
        <v>447</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nKiXIzXzRoNKQfltuLNKaGxoT9yprChZ5oyciu/JL1e3/9KMFa28/O/r3NY4X3AdWeX43cj0ZiMCcRL8WtlDIw==" saltValue="0kQQvnC7jtzhvLHThdOJi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53</vt:i4>
      </vt:variant>
    </vt:vector>
  </HeadingPairs>
  <TitlesOfParts>
    <vt:vector size="87"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Carbon Calculations</vt:lpstr>
      <vt:lpstr>Carbon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Austin, Vardry E</cp:lastModifiedBy>
  <cp:lastPrinted>2020-12-04T20:09:27Z</cp:lastPrinted>
  <dcterms:created xsi:type="dcterms:W3CDTF">2004-11-04T17:59:53Z</dcterms:created>
  <dcterms:modified xsi:type="dcterms:W3CDTF">2026-02-16T19:33:05Z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